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3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na\Desktop\CPV_ENERO_21\"/>
    </mc:Choice>
  </mc:AlternateContent>
  <bookViews>
    <workbookView showHorizontalScroll="0" showVerticalScroll="0" showSheetTabs="0" xWindow="0" yWindow="0" windowWidth="20490" windowHeight="7650" tabRatio="922"/>
  </bookViews>
  <sheets>
    <sheet name="PRESENTACIÓN" sheetId="18" r:id="rId1"/>
    <sheet name="POBLACIÓN TOTAL" sheetId="1" r:id="rId2"/>
    <sheet name="POBLACIÓN INDÍGENA" sheetId="11" r:id="rId3"/>
    <sheet name="HOGARES" sheetId="2" r:id="rId4"/>
    <sheet name="TAMAÑO DE LOCALIDADES" sheetId="10" r:id="rId5"/>
    <sheet name="DISCAPACIDAD" sheetId="3" r:id="rId6"/>
    <sheet name="EDUCACIÓN" sheetId="4" r:id="rId7"/>
    <sheet name="ACT ECONÓMICA" sheetId="5" r:id="rId8"/>
    <sheet name="SALUD" sheetId="6" r:id="rId9"/>
    <sheet name="SERVICIOS VIVIENDAS" sheetId="7" r:id="rId10"/>
    <sheet name="CALIDAD VIVIENDAS" sheetId="17" r:id="rId11"/>
    <sheet name="ESPACIO VIVIENDAS" sheetId="8" r:id="rId12"/>
    <sheet name="BASE" sheetId="12" state="hidden" r:id="rId13"/>
  </sheets>
  <definedNames>
    <definedName name="_xlnm._FilterDatabase" localSheetId="12" hidden="1">BASE!$A$2:$CX$126</definedName>
    <definedName name="_xlnm.Print_Area" localSheetId="7">'ACT ECONÓMICA'!$B$1:$L$24</definedName>
    <definedName name="_xlnm.Print_Area" localSheetId="10">'CALIDAD VIVIENDAS'!$B$1:$L$26</definedName>
    <definedName name="_xlnm.Print_Area" localSheetId="5">DISCAPACIDAD!$B$1:$H$29</definedName>
    <definedName name="_xlnm.Print_Area" localSheetId="6">EDUCACIÓN!$B$1:$K$24</definedName>
    <definedName name="_xlnm.Print_Area" localSheetId="11">'ESPACIO VIVIENDAS'!$B$1:$K$29</definedName>
    <definedName name="_xlnm.Print_Area" localSheetId="3">HOGARES!$B$1:$I$25</definedName>
    <definedName name="_xlnm.Print_Area" localSheetId="2">'POBLACIÓN INDÍGENA'!$B$1:$L$23</definedName>
    <definedName name="_xlnm.Print_Area" localSheetId="1">'POBLACIÓN TOTAL'!$B$1:$M$30</definedName>
    <definedName name="_xlnm.Print_Area" localSheetId="0">PRESENTACIÓN!$B$1:$L$26</definedName>
    <definedName name="_xlnm.Print_Area" localSheetId="8">SALUD!$B$1:$K$28</definedName>
    <definedName name="_xlnm.Print_Area" localSheetId="9">'SERVICIOS VIVIENDAS'!$B$1:$K$24</definedName>
    <definedName name="_xlnm.Print_Area" localSheetId="4">'TAMAÑO DE LOCALIDADES'!$B$1:$H$27</definedName>
    <definedName name="_xlnm.Print_Titles" localSheetId="7">'ACT ECONÓMICA'!$1:$7</definedName>
    <definedName name="_xlnm.Print_Titles" localSheetId="10">'CALIDAD VIVIENDAS'!$1:$7</definedName>
    <definedName name="_xlnm.Print_Titles" localSheetId="5">DISCAPACIDAD!$1:$7</definedName>
    <definedName name="_xlnm.Print_Titles" localSheetId="6">EDUCACIÓN!$1:$7</definedName>
    <definedName name="_xlnm.Print_Titles" localSheetId="11">'ESPACIO VIVIENDAS'!$1:$7</definedName>
    <definedName name="_xlnm.Print_Titles" localSheetId="3">HOGARES!$1:$7</definedName>
    <definedName name="_xlnm.Print_Titles" localSheetId="2">'POBLACIÓN INDÍGENA'!$1:$7</definedName>
    <definedName name="_xlnm.Print_Titles" localSheetId="1">'POBLACIÓN TOTAL'!$1:$7</definedName>
    <definedName name="_xlnm.Print_Titles" localSheetId="8">SALUD!$1:$7</definedName>
    <definedName name="_xlnm.Print_Titles" localSheetId="9">'SERVICIOS VIVIENDAS'!$1:$7</definedName>
    <definedName name="_xlnm.Print_Titles" localSheetId="4">'TAMAÑO DE LOCALIDADES'!$1:$7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8" l="1"/>
  <c r="F10" i="8"/>
  <c r="C10" i="8"/>
  <c r="J19" i="17"/>
  <c r="J18" i="17"/>
  <c r="E10" i="17"/>
  <c r="C10" i="17"/>
  <c r="F16" i="7"/>
  <c r="E16" i="7"/>
  <c r="K20" i="7"/>
  <c r="J20" i="7"/>
  <c r="D16" i="7"/>
  <c r="C16" i="7"/>
  <c r="J10" i="7"/>
  <c r="G6" i="4" l="1"/>
  <c r="F6" i="3"/>
  <c r="E6" i="10"/>
  <c r="H26" i="10" s="1"/>
  <c r="G6" i="2"/>
  <c r="C24" i="2" s="1"/>
  <c r="I6" i="11"/>
  <c r="O11" i="11" s="1"/>
  <c r="D30" i="1"/>
  <c r="D29" i="1"/>
  <c r="D28" i="1"/>
  <c r="D27" i="1"/>
  <c r="D26" i="1"/>
  <c r="C18" i="1"/>
  <c r="C17" i="1"/>
  <c r="L10" i="1"/>
  <c r="L9" i="1"/>
  <c r="C11" i="1"/>
  <c r="C10" i="1"/>
  <c r="H6" i="8"/>
  <c r="H6" i="17"/>
  <c r="H6" i="7"/>
  <c r="H6" i="6"/>
  <c r="I6" i="5"/>
  <c r="L13" i="3" l="1"/>
  <c r="L12" i="3"/>
  <c r="L9" i="3"/>
  <c r="L11" i="3"/>
  <c r="L14" i="3"/>
  <c r="L10" i="3"/>
  <c r="L15" i="3"/>
  <c r="G29" i="3"/>
  <c r="G28" i="3"/>
  <c r="G27" i="3" s="1"/>
  <c r="C13" i="1"/>
  <c r="E30" i="1"/>
  <c r="M9" i="1"/>
  <c r="D18" i="1"/>
  <c r="M10" i="1"/>
  <c r="E26" i="1"/>
  <c r="D17" i="1"/>
  <c r="D19" i="1"/>
  <c r="C12" i="10"/>
  <c r="H27" i="10"/>
  <c r="E27" i="1"/>
  <c r="G16" i="3"/>
  <c r="E28" i="1"/>
  <c r="E29" i="1"/>
  <c r="I17" i="2"/>
  <c r="C13" i="10"/>
  <c r="C9" i="11"/>
  <c r="G10" i="2"/>
  <c r="I18" i="2"/>
  <c r="C14" i="10"/>
  <c r="G19" i="3"/>
  <c r="C25" i="2"/>
  <c r="K9" i="11"/>
  <c r="G11" i="2"/>
  <c r="I19" i="2"/>
  <c r="C15" i="10"/>
  <c r="G20" i="3"/>
  <c r="C12" i="1"/>
  <c r="K10" i="11"/>
  <c r="I20" i="2"/>
  <c r="C16" i="10"/>
  <c r="C10" i="2"/>
  <c r="I21" i="2"/>
  <c r="H20" i="10"/>
  <c r="G10" i="3"/>
  <c r="C11" i="2"/>
  <c r="I22" i="2"/>
  <c r="H21" i="10"/>
  <c r="G11" i="3"/>
  <c r="G22" i="3"/>
  <c r="H13" i="11"/>
  <c r="C20" i="2"/>
  <c r="I23" i="2"/>
  <c r="H22" i="10"/>
  <c r="G14" i="3"/>
  <c r="G23" i="3"/>
  <c r="H14" i="11"/>
  <c r="H23" i="10"/>
  <c r="C21" i="2"/>
  <c r="O9" i="11"/>
  <c r="C22" i="2"/>
  <c r="C9" i="10"/>
  <c r="H24" i="10"/>
  <c r="G25" i="3"/>
  <c r="O10" i="11"/>
  <c r="C23" i="2"/>
  <c r="C10" i="10"/>
  <c r="H25" i="10"/>
  <c r="G13" i="3"/>
  <c r="G26" i="3"/>
  <c r="C11" i="10"/>
  <c r="G17" i="3"/>
  <c r="C24" i="4"/>
  <c r="C22" i="4"/>
  <c r="C23" i="4"/>
  <c r="I14" i="4"/>
  <c r="I24" i="4"/>
  <c r="H19" i="4"/>
  <c r="I20" i="4"/>
  <c r="I19" i="4"/>
  <c r="H23" i="4"/>
  <c r="H21" i="4"/>
  <c r="H20" i="4"/>
  <c r="I23" i="4"/>
  <c r="H18" i="4"/>
  <c r="I21" i="4"/>
  <c r="I22" i="4"/>
  <c r="H22" i="4"/>
  <c r="H24" i="4"/>
  <c r="I18" i="4"/>
  <c r="I11" i="4"/>
  <c r="I12" i="4"/>
  <c r="I13" i="4"/>
  <c r="C16" i="4"/>
  <c r="C10" i="4"/>
  <c r="C15" i="4"/>
  <c r="C11" i="4"/>
  <c r="H10" i="4"/>
  <c r="H11" i="4"/>
  <c r="I10" i="4"/>
  <c r="H12" i="4"/>
  <c r="H13" i="4"/>
  <c r="H14" i="4"/>
  <c r="G15" i="3" l="1"/>
  <c r="G12" i="3"/>
  <c r="G21" i="3"/>
  <c r="L10" i="11"/>
  <c r="L9" i="11"/>
  <c r="G9" i="3"/>
  <c r="C10" i="3"/>
  <c r="G18" i="3"/>
  <c r="C9" i="2"/>
  <c r="G24" i="3"/>
  <c r="G9" i="2"/>
  <c r="C11" i="3"/>
  <c r="G19" i="4"/>
  <c r="G22" i="4"/>
  <c r="G18" i="4"/>
  <c r="G12" i="4"/>
  <c r="G11" i="4"/>
  <c r="G24" i="4"/>
  <c r="G13" i="4"/>
  <c r="G20" i="4"/>
  <c r="G21" i="4"/>
  <c r="G23" i="4"/>
  <c r="G14" i="4"/>
  <c r="G10" i="4"/>
  <c r="C14" i="4"/>
  <c r="C9" i="4"/>
  <c r="C9" i="3" l="1"/>
  <c r="D11" i="3" s="1"/>
  <c r="D11" i="4"/>
  <c r="D10" i="4"/>
  <c r="D15" i="4"/>
  <c r="D14" i="4"/>
  <c r="D16" i="4"/>
  <c r="F11" i="8"/>
  <c r="C29" i="8"/>
  <c r="C27" i="8"/>
  <c r="C28" i="8"/>
  <c r="C26" i="8"/>
  <c r="C25" i="8"/>
  <c r="F12" i="8"/>
  <c r="F18" i="8"/>
  <c r="F19" i="8"/>
  <c r="F13" i="8"/>
  <c r="F15" i="8"/>
  <c r="C17" i="8"/>
  <c r="C11" i="8"/>
  <c r="F16" i="8"/>
  <c r="C14" i="8"/>
  <c r="C15" i="8"/>
  <c r="C16" i="8"/>
  <c r="C18" i="8"/>
  <c r="C12" i="8"/>
  <c r="C19" i="8"/>
  <c r="F14" i="8"/>
  <c r="C13" i="8"/>
  <c r="F17" i="8"/>
  <c r="D10" i="3" l="1"/>
  <c r="G19" i="8"/>
  <c r="D25" i="8"/>
  <c r="D16" i="8"/>
  <c r="D29" i="8" l="1"/>
  <c r="D28" i="8"/>
  <c r="D26" i="8"/>
  <c r="D19" i="8"/>
  <c r="D18" i="8"/>
  <c r="D15" i="8"/>
  <c r="D13" i="8"/>
  <c r="G18" i="8"/>
  <c r="G14" i="8"/>
  <c r="G13" i="8"/>
  <c r="D12" i="8"/>
  <c r="G12" i="8"/>
  <c r="D17" i="8"/>
  <c r="G11" i="8"/>
  <c r="G10" i="8"/>
  <c r="D10" i="8"/>
  <c r="D11" i="8"/>
  <c r="D14" i="8"/>
  <c r="G17" i="8"/>
  <c r="G16" i="8"/>
  <c r="G15" i="8"/>
  <c r="D27" i="8"/>
  <c r="D24" i="8"/>
  <c r="E12" i="17" l="1"/>
  <c r="I25" i="17"/>
  <c r="C14" i="17"/>
  <c r="C13" i="17"/>
  <c r="I23" i="17"/>
  <c r="C12" i="17"/>
  <c r="C18" i="17"/>
  <c r="K19" i="17"/>
  <c r="C26" i="17"/>
  <c r="C24" i="17"/>
  <c r="K23" i="17"/>
  <c r="C20" i="17"/>
  <c r="E11" i="17"/>
  <c r="I24" i="17"/>
  <c r="C22" i="17"/>
  <c r="C21" i="17"/>
  <c r="E13" i="17"/>
  <c r="K26" i="17"/>
  <c r="K25" i="17"/>
  <c r="K24" i="17"/>
  <c r="C11" i="17"/>
  <c r="D12" i="17" s="1"/>
  <c r="C19" i="17"/>
  <c r="C25" i="17"/>
  <c r="E14" i="17"/>
  <c r="I26" i="17"/>
  <c r="K18" i="17"/>
  <c r="C23" i="17"/>
  <c r="I19" i="17"/>
  <c r="I18" i="17"/>
  <c r="D20" i="17" l="1"/>
  <c r="D19" i="17"/>
  <c r="D25" i="17"/>
  <c r="D24" i="17"/>
  <c r="D26" i="17"/>
  <c r="D18" i="17"/>
  <c r="D22" i="17"/>
  <c r="E21" i="7"/>
  <c r="E22" i="7"/>
  <c r="E20" i="7"/>
  <c r="E19" i="7"/>
  <c r="E24" i="7"/>
  <c r="E23" i="7"/>
  <c r="E18" i="7"/>
  <c r="E17" i="7"/>
  <c r="O10" i="7"/>
  <c r="J24" i="7"/>
  <c r="J22" i="7"/>
  <c r="J23" i="7"/>
  <c r="J21" i="7"/>
  <c r="D14" i="17"/>
  <c r="J25" i="17"/>
  <c r="J23" i="17"/>
  <c r="D13" i="17"/>
  <c r="D11" i="17"/>
  <c r="J24" i="17"/>
  <c r="D10" i="17"/>
  <c r="J26" i="17"/>
  <c r="D23" i="17"/>
  <c r="D21" i="17"/>
  <c r="J16" i="7"/>
  <c r="J12" i="7"/>
  <c r="J15" i="7"/>
  <c r="J13" i="7"/>
  <c r="J14" i="7"/>
  <c r="J11" i="7"/>
  <c r="C23" i="7"/>
  <c r="C22" i="7"/>
  <c r="C21" i="7"/>
  <c r="C20" i="7"/>
  <c r="C19" i="7"/>
  <c r="C18" i="7"/>
  <c r="C17" i="7"/>
  <c r="C24" i="7"/>
  <c r="O11" i="7" l="1"/>
  <c r="F11" i="17"/>
  <c r="F12" i="17"/>
  <c r="F13" i="17"/>
  <c r="F10" i="17"/>
  <c r="L18" i="17"/>
  <c r="L26" i="17"/>
  <c r="O12" i="7"/>
  <c r="K24" i="7"/>
  <c r="L25" i="17"/>
  <c r="L24" i="17"/>
  <c r="F23" i="7"/>
  <c r="L19" i="17"/>
  <c r="L23" i="17"/>
  <c r="F14" i="17"/>
  <c r="D24" i="7"/>
  <c r="K18" i="6"/>
  <c r="J24" i="6"/>
  <c r="J12" i="6"/>
  <c r="J16" i="6"/>
  <c r="K21" i="6"/>
  <c r="J15" i="6"/>
  <c r="J26" i="6"/>
  <c r="J14" i="6"/>
  <c r="J25" i="6"/>
  <c r="K17" i="6"/>
  <c r="J23" i="6"/>
  <c r="J11" i="6"/>
  <c r="K26" i="6"/>
  <c r="K14" i="6"/>
  <c r="J20" i="6"/>
  <c r="K25" i="6"/>
  <c r="K13" i="6"/>
  <c r="J19" i="6"/>
  <c r="K24" i="6"/>
  <c r="K12" i="6"/>
  <c r="J18" i="6"/>
  <c r="K23" i="6"/>
  <c r="K11" i="6"/>
  <c r="J17" i="6"/>
  <c r="K22" i="6"/>
  <c r="K10" i="6"/>
  <c r="J27" i="6"/>
  <c r="K20" i="6"/>
  <c r="K19" i="6"/>
  <c r="K16" i="6"/>
  <c r="J22" i="6"/>
  <c r="J10" i="6"/>
  <c r="K27" i="6"/>
  <c r="K15" i="6"/>
  <c r="J21" i="6"/>
  <c r="J13" i="6"/>
  <c r="D24" i="6"/>
  <c r="D26" i="6"/>
  <c r="E28" i="6"/>
  <c r="D23" i="6"/>
  <c r="D22" i="6"/>
  <c r="C17" i="6"/>
  <c r="C16" i="6"/>
  <c r="C14" i="6"/>
  <c r="E27" i="6"/>
  <c r="E25" i="6"/>
  <c r="C13" i="6"/>
  <c r="D27" i="6"/>
  <c r="E26" i="6"/>
  <c r="E24" i="6"/>
  <c r="E23" i="6"/>
  <c r="C11" i="6"/>
  <c r="D28" i="6"/>
  <c r="C10" i="6"/>
  <c r="E22" i="6"/>
  <c r="D25" i="6"/>
  <c r="C11" i="5"/>
  <c r="I18" i="6" l="1"/>
  <c r="K21" i="7"/>
  <c r="C9" i="6"/>
  <c r="P12" i="7"/>
  <c r="K22" i="7"/>
  <c r="K23" i="7"/>
  <c r="P10" i="7"/>
  <c r="P11" i="7"/>
  <c r="F24" i="7"/>
  <c r="F21" i="7"/>
  <c r="F17" i="7"/>
  <c r="F18" i="7"/>
  <c r="F22" i="7"/>
  <c r="F20" i="7"/>
  <c r="F19" i="7"/>
  <c r="I13" i="6"/>
  <c r="I21" i="6"/>
  <c r="K13" i="7"/>
  <c r="K10" i="7"/>
  <c r="K16" i="7"/>
  <c r="K15" i="7"/>
  <c r="K11" i="7"/>
  <c r="K12" i="7"/>
  <c r="K14" i="7"/>
  <c r="C12" i="6"/>
  <c r="D14" i="6" s="1"/>
  <c r="D23" i="7"/>
  <c r="D21" i="7"/>
  <c r="I10" i="6"/>
  <c r="D20" i="7"/>
  <c r="C15" i="6"/>
  <c r="D17" i="6" s="1"/>
  <c r="I22" i="6"/>
  <c r="D19" i="7"/>
  <c r="D18" i="7"/>
  <c r="C28" i="6"/>
  <c r="D17" i="7"/>
  <c r="D22" i="7"/>
  <c r="C27" i="6"/>
  <c r="I17" i="6"/>
  <c r="I11" i="6"/>
  <c r="I23" i="6"/>
  <c r="I25" i="6"/>
  <c r="I14" i="6"/>
  <c r="I26" i="6"/>
  <c r="I19" i="6"/>
  <c r="I15" i="6"/>
  <c r="I16" i="6"/>
  <c r="I27" i="6"/>
  <c r="I20" i="6"/>
  <c r="I12" i="6"/>
  <c r="C26" i="6"/>
  <c r="I24" i="6"/>
  <c r="E21" i="6"/>
  <c r="C25" i="6"/>
  <c r="D21" i="6"/>
  <c r="C22" i="6"/>
  <c r="C23" i="6"/>
  <c r="D11" i="6"/>
  <c r="D10" i="6"/>
  <c r="C24" i="6"/>
  <c r="P21" i="5"/>
  <c r="N21" i="5"/>
  <c r="O21" i="5"/>
  <c r="Q21" i="5"/>
  <c r="K13" i="5"/>
  <c r="K10" i="5"/>
  <c r="K11" i="5"/>
  <c r="K14" i="5"/>
  <c r="K9" i="5"/>
  <c r="K12" i="5"/>
  <c r="K15" i="5"/>
  <c r="E24" i="5"/>
  <c r="G24" i="5"/>
  <c r="C13" i="5"/>
  <c r="C14" i="5"/>
  <c r="C16" i="5"/>
  <c r="C17" i="5"/>
  <c r="C19" i="5"/>
  <c r="C20" i="5"/>
  <c r="B24" i="5"/>
  <c r="C24" i="5"/>
  <c r="I24" i="5"/>
  <c r="C10" i="5"/>
  <c r="D16" i="6" l="1"/>
  <c r="D13" i="6"/>
  <c r="D15" i="6"/>
  <c r="D9" i="6"/>
  <c r="C21" i="6"/>
  <c r="D12" i="6"/>
  <c r="H10" i="5"/>
  <c r="C9" i="5"/>
  <c r="D11" i="5" s="1"/>
  <c r="G10" i="5"/>
  <c r="C12" i="5"/>
  <c r="C15" i="5"/>
  <c r="C18" i="5"/>
  <c r="D20" i="5" s="1"/>
  <c r="D10" i="5" l="1"/>
  <c r="L10" i="5"/>
  <c r="L11" i="5"/>
  <c r="L9" i="5"/>
  <c r="L12" i="5"/>
  <c r="L15" i="5"/>
  <c r="L13" i="5"/>
  <c r="D15" i="5"/>
  <c r="L14" i="5"/>
  <c r="D19" i="5"/>
  <c r="D12" i="5"/>
  <c r="F10" i="5"/>
  <c r="D13" i="5"/>
  <c r="D14" i="5"/>
  <c r="D16" i="5"/>
  <c r="D17" i="5"/>
  <c r="H14" i="3"/>
  <c r="H16" i="3"/>
  <c r="H22" i="3"/>
  <c r="H28" i="3"/>
  <c r="H17" i="3"/>
  <c r="H20" i="3"/>
  <c r="H26" i="3"/>
  <c r="L16" i="3"/>
  <c r="H10" i="3"/>
  <c r="H13" i="3" l="1"/>
  <c r="H23" i="3"/>
  <c r="H29" i="3"/>
  <c r="H25" i="3"/>
  <c r="H19" i="3"/>
  <c r="H12" i="3"/>
  <c r="H21" i="3"/>
  <c r="M11" i="3"/>
  <c r="M14" i="3"/>
  <c r="M12" i="3"/>
  <c r="M15" i="3"/>
  <c r="M10" i="3"/>
  <c r="M9" i="3"/>
  <c r="H27" i="3"/>
  <c r="H24" i="3"/>
  <c r="H18" i="3"/>
  <c r="H15" i="3"/>
  <c r="H11" i="3"/>
  <c r="H9" i="3"/>
  <c r="M13" i="3"/>
  <c r="G30" i="2"/>
  <c r="G29" i="2"/>
  <c r="G28" i="2"/>
  <c r="G32" i="2"/>
  <c r="G31" i="2"/>
  <c r="G27" i="2" l="1"/>
  <c r="H32" i="2" s="1"/>
  <c r="H10" i="2"/>
  <c r="D10" i="2"/>
  <c r="H30" i="2" l="1"/>
  <c r="H29" i="2"/>
  <c r="H28" i="2"/>
  <c r="H31" i="2"/>
  <c r="H11" i="2"/>
  <c r="D11" i="2"/>
  <c r="R21" i="11"/>
  <c r="O17" i="11"/>
  <c r="O19" i="11"/>
  <c r="O20" i="11"/>
  <c r="O16" i="11"/>
  <c r="R22" i="11"/>
  <c r="S14" i="11"/>
  <c r="R13" i="11"/>
  <c r="R10" i="11"/>
  <c r="R12" i="11"/>
  <c r="S16" i="11"/>
  <c r="R14" i="11"/>
  <c r="R11" i="11"/>
  <c r="R16" i="11"/>
  <c r="S15" i="11"/>
  <c r="S17" i="11"/>
  <c r="R15" i="11"/>
  <c r="S18" i="11"/>
  <c r="S19" i="11"/>
  <c r="R17" i="11"/>
  <c r="S13" i="11"/>
  <c r="S20" i="11"/>
  <c r="S21" i="11"/>
  <c r="R20" i="11"/>
  <c r="S12" i="11"/>
  <c r="R18" i="11"/>
  <c r="S9" i="11"/>
  <c r="R19" i="11"/>
  <c r="S10" i="11"/>
  <c r="S22" i="11"/>
  <c r="S11" i="11"/>
  <c r="R9" i="11"/>
  <c r="O15" i="11" l="1"/>
  <c r="P15" i="11" s="1"/>
  <c r="O18" i="11"/>
  <c r="P18" i="11" s="1"/>
  <c r="I14" i="11"/>
  <c r="I13" i="11"/>
  <c r="P17" i="11" l="1"/>
  <c r="P20" i="11"/>
  <c r="P19" i="11"/>
  <c r="P16" i="1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F4" i="12" l="1"/>
  <c r="G4" i="12"/>
  <c r="F5" i="12"/>
  <c r="G5" i="12"/>
  <c r="F6" i="12"/>
  <c r="G6" i="12"/>
  <c r="F7" i="12"/>
  <c r="G7" i="12"/>
  <c r="F8" i="12"/>
  <c r="G8" i="12"/>
  <c r="F9" i="12"/>
  <c r="G9" i="12"/>
  <c r="F10" i="12"/>
  <c r="G10" i="12"/>
  <c r="F11" i="12"/>
  <c r="G11" i="12"/>
  <c r="F12" i="12"/>
  <c r="G12" i="12"/>
  <c r="F13" i="12"/>
  <c r="G13" i="12"/>
  <c r="F14" i="12"/>
  <c r="G14" i="12"/>
  <c r="F15" i="12"/>
  <c r="G15" i="12"/>
  <c r="F16" i="12"/>
  <c r="G16" i="12"/>
  <c r="F17" i="12"/>
  <c r="G17" i="12"/>
  <c r="F18" i="12"/>
  <c r="G18" i="12"/>
  <c r="F19" i="12"/>
  <c r="G19" i="12"/>
  <c r="F20" i="12"/>
  <c r="G20" i="12"/>
  <c r="F21" i="12"/>
  <c r="G21" i="12"/>
  <c r="F22" i="12"/>
  <c r="G22" i="12"/>
  <c r="F23" i="12"/>
  <c r="G23" i="12"/>
  <c r="F24" i="12"/>
  <c r="G24" i="12"/>
  <c r="F25" i="12"/>
  <c r="G25" i="12"/>
  <c r="F26" i="12"/>
  <c r="G26" i="12"/>
  <c r="F27" i="12"/>
  <c r="G27" i="12"/>
  <c r="F28" i="12"/>
  <c r="G28" i="12"/>
  <c r="F29" i="12"/>
  <c r="G29" i="12"/>
  <c r="F30" i="12"/>
  <c r="G30" i="12"/>
  <c r="F31" i="12"/>
  <c r="G31" i="12"/>
  <c r="F32" i="12"/>
  <c r="G32" i="12"/>
  <c r="F33" i="12"/>
  <c r="G33" i="12"/>
  <c r="F34" i="12"/>
  <c r="G34" i="12"/>
  <c r="F35" i="12"/>
  <c r="G35" i="12"/>
  <c r="F36" i="12"/>
  <c r="G36" i="12"/>
  <c r="F37" i="12"/>
  <c r="G37" i="12"/>
  <c r="F38" i="12"/>
  <c r="G38" i="12"/>
  <c r="F39" i="12"/>
  <c r="G39" i="12"/>
  <c r="F40" i="12"/>
  <c r="G40" i="12"/>
  <c r="F41" i="12"/>
  <c r="G41" i="12"/>
  <c r="F42" i="12"/>
  <c r="G42" i="12"/>
  <c r="F43" i="12"/>
  <c r="G43" i="12"/>
  <c r="F44" i="12"/>
  <c r="G44" i="12"/>
  <c r="F45" i="12"/>
  <c r="G45" i="12"/>
  <c r="F46" i="12"/>
  <c r="G46" i="12"/>
  <c r="F47" i="12"/>
  <c r="G47" i="12"/>
  <c r="F48" i="12"/>
  <c r="G48" i="12"/>
  <c r="F49" i="12"/>
  <c r="G49" i="12"/>
  <c r="F50" i="12"/>
  <c r="G50" i="12"/>
  <c r="F51" i="12"/>
  <c r="G51" i="12"/>
  <c r="F52" i="12"/>
  <c r="G52" i="12"/>
  <c r="F53" i="12"/>
  <c r="G53" i="12"/>
  <c r="F54" i="12"/>
  <c r="G54" i="12"/>
  <c r="F55" i="12"/>
  <c r="G55" i="12"/>
  <c r="F56" i="12"/>
  <c r="G56" i="12"/>
  <c r="F57" i="12"/>
  <c r="G57" i="12"/>
  <c r="F58" i="12"/>
  <c r="G58" i="12"/>
  <c r="F59" i="12"/>
  <c r="G59" i="12"/>
  <c r="F60" i="12"/>
  <c r="G60" i="12"/>
  <c r="F61" i="12"/>
  <c r="G61" i="12"/>
  <c r="F62" i="12"/>
  <c r="G62" i="12"/>
  <c r="F63" i="12"/>
  <c r="G63" i="12"/>
  <c r="F64" i="12"/>
  <c r="G64" i="12"/>
  <c r="F65" i="12"/>
  <c r="G65" i="12"/>
  <c r="F66" i="12"/>
  <c r="G66" i="12"/>
  <c r="F67" i="12"/>
  <c r="G67" i="12"/>
  <c r="F68" i="12"/>
  <c r="G68" i="12"/>
  <c r="F69" i="12"/>
  <c r="G69" i="12"/>
  <c r="F70" i="12"/>
  <c r="G70" i="12"/>
  <c r="F71" i="12"/>
  <c r="G71" i="12"/>
  <c r="F72" i="12"/>
  <c r="G72" i="12"/>
  <c r="F73" i="12"/>
  <c r="G73" i="12"/>
  <c r="F74" i="12"/>
  <c r="G74" i="12"/>
  <c r="F75" i="12"/>
  <c r="G75" i="12"/>
  <c r="F76" i="12"/>
  <c r="G76" i="12"/>
  <c r="F77" i="12"/>
  <c r="G77" i="12"/>
  <c r="F78" i="12"/>
  <c r="G78" i="12"/>
  <c r="F79" i="12"/>
  <c r="G79" i="12"/>
  <c r="F80" i="12"/>
  <c r="G80" i="12"/>
  <c r="F81" i="12"/>
  <c r="G81" i="12"/>
  <c r="F82" i="12"/>
  <c r="G82" i="12"/>
  <c r="F83" i="12"/>
  <c r="G83" i="12"/>
  <c r="F84" i="12"/>
  <c r="G84" i="12"/>
  <c r="F85" i="12"/>
  <c r="G85" i="12"/>
  <c r="F86" i="12"/>
  <c r="G86" i="12"/>
  <c r="F87" i="12"/>
  <c r="G87" i="12"/>
  <c r="F88" i="12"/>
  <c r="G88" i="12"/>
  <c r="F89" i="12"/>
  <c r="G89" i="12"/>
  <c r="F90" i="12"/>
  <c r="G90" i="12"/>
  <c r="F91" i="12"/>
  <c r="G91" i="12"/>
  <c r="F92" i="12"/>
  <c r="G92" i="12"/>
  <c r="F93" i="12"/>
  <c r="G93" i="12"/>
  <c r="F94" i="12"/>
  <c r="G94" i="12"/>
  <c r="F95" i="12"/>
  <c r="G95" i="12"/>
  <c r="F96" i="12"/>
  <c r="G96" i="12"/>
  <c r="F97" i="12"/>
  <c r="G97" i="12"/>
  <c r="F98" i="12"/>
  <c r="G98" i="12"/>
  <c r="F99" i="12"/>
  <c r="G99" i="12"/>
  <c r="F100" i="12"/>
  <c r="G100" i="12"/>
  <c r="F101" i="12"/>
  <c r="G101" i="12"/>
  <c r="F102" i="12"/>
  <c r="G102" i="12"/>
  <c r="F103" i="12"/>
  <c r="G103" i="12"/>
  <c r="F104" i="12"/>
  <c r="G104" i="12"/>
  <c r="F105" i="12"/>
  <c r="G105" i="12"/>
  <c r="F106" i="12"/>
  <c r="G106" i="12"/>
  <c r="F107" i="12"/>
  <c r="G107" i="12"/>
  <c r="F108" i="12"/>
  <c r="G108" i="12"/>
  <c r="F109" i="12"/>
  <c r="G109" i="12"/>
  <c r="F110" i="12"/>
  <c r="G110" i="12"/>
  <c r="F111" i="12"/>
  <c r="G111" i="12"/>
  <c r="F112" i="12"/>
  <c r="G112" i="12"/>
  <c r="F113" i="12"/>
  <c r="G113" i="12"/>
  <c r="F114" i="12"/>
  <c r="G114" i="12"/>
  <c r="F115" i="12"/>
  <c r="G115" i="12"/>
  <c r="F116" i="12"/>
  <c r="G116" i="12"/>
  <c r="F117" i="12"/>
  <c r="G117" i="12"/>
  <c r="F118" i="12"/>
  <c r="G118" i="12"/>
  <c r="F119" i="12"/>
  <c r="G119" i="12"/>
  <c r="F120" i="12"/>
  <c r="G120" i="12"/>
  <c r="F121" i="12"/>
  <c r="G121" i="12"/>
  <c r="F122" i="12"/>
  <c r="G122" i="12"/>
  <c r="F123" i="12"/>
  <c r="G123" i="12"/>
  <c r="F124" i="12"/>
  <c r="G124" i="12"/>
  <c r="F125" i="12"/>
  <c r="G125" i="12"/>
  <c r="F126" i="12"/>
  <c r="G126" i="12"/>
  <c r="G3" i="12"/>
  <c r="F3" i="12"/>
</calcChain>
</file>

<file path=xl/sharedStrings.xml><?xml version="1.0" encoding="utf-8"?>
<sst xmlns="http://schemas.openxmlformats.org/spreadsheetml/2006/main" count="1404" uniqueCount="1043">
  <si>
    <t>habitantes</t>
  </si>
  <si>
    <t>POBLACIÓN POR TAMAÑO DE LA LOCALIDAD</t>
  </si>
  <si>
    <t>POBLACIÓN TOTAL</t>
  </si>
  <si>
    <t>POBLACIÓN DE 3 AÑOS Y MÁS  QUE HABLA ALGUNA LENGUA INDÍGENA</t>
  </si>
  <si>
    <t>TOTAL</t>
  </si>
  <si>
    <t>HOGARES</t>
  </si>
  <si>
    <t>DISCAPACIDAD</t>
  </si>
  <si>
    <t>EDUCACIÓN</t>
  </si>
  <si>
    <t>MUNICIPIO:</t>
  </si>
  <si>
    <t>No especificado</t>
  </si>
  <si>
    <t>Total</t>
  </si>
  <si>
    <t>Hombres</t>
  </si>
  <si>
    <t>Mujeres</t>
  </si>
  <si>
    <t>Más de 1 a 2 s.m.</t>
  </si>
  <si>
    <t>Más de 2 s.m.</t>
  </si>
  <si>
    <t>PORCENTAJE DE PÓBLACIÓN OCUPADA POR INGRESO POR TRABAJO (SALE DE TABULAOS DEL CUESTIONARIO AMPLIADO</t>
  </si>
  <si>
    <t>IMSS</t>
  </si>
  <si>
    <t>ISSSTE</t>
  </si>
  <si>
    <t>00-04 años</t>
  </si>
  <si>
    <t>05-09 años</t>
  </si>
  <si>
    <t>10-14 años</t>
  </si>
  <si>
    <t>15-19 años</t>
  </si>
  <si>
    <t>20-24 años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</si>
  <si>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</si>
  <si>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</si>
  <si>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</si>
  <si>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</si>
  <si>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</si>
  <si>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</si>
  <si>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</si>
  <si>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60-64 años</t>
  </si>
  <si>
    <t>65-69 años</t>
  </si>
  <si>
    <t>70-74 años</t>
  </si>
  <si>
    <t>75-79 años</t>
  </si>
  <si>
    <t>80-84 años</t>
  </si>
  <si>
    <t>SALUD</t>
  </si>
  <si>
    <t>CVE_MUN</t>
  </si>
  <si>
    <t>NOM_MUN</t>
  </si>
  <si>
    <t>001</t>
  </si>
  <si>
    <t>Acacoyagua</t>
  </si>
  <si>
    <t>002</t>
  </si>
  <si>
    <t>Acala</t>
  </si>
  <si>
    <t>003</t>
  </si>
  <si>
    <t>Acapetahua</t>
  </si>
  <si>
    <t>004</t>
  </si>
  <si>
    <t>Altamirano</t>
  </si>
  <si>
    <t>005</t>
  </si>
  <si>
    <t>Amatán</t>
  </si>
  <si>
    <t>006</t>
  </si>
  <si>
    <t>Amatenango de la Frontera</t>
  </si>
  <si>
    <t>007</t>
  </si>
  <si>
    <t>Amatenango del Valle</t>
  </si>
  <si>
    <t>008</t>
  </si>
  <si>
    <t>Ángel Albino Corzo</t>
  </si>
  <si>
    <t>009</t>
  </si>
  <si>
    <t>Arriaga</t>
  </si>
  <si>
    <t>010</t>
  </si>
  <si>
    <t>Bejucal de Ocampo</t>
  </si>
  <si>
    <t>011</t>
  </si>
  <si>
    <t>Bella Vista</t>
  </si>
  <si>
    <t>012</t>
  </si>
  <si>
    <t>Berriozábal</t>
  </si>
  <si>
    <t>013</t>
  </si>
  <si>
    <t>Bochil</t>
  </si>
  <si>
    <t>014</t>
  </si>
  <si>
    <t>El Bosque</t>
  </si>
  <si>
    <t>015</t>
  </si>
  <si>
    <t>Cacahoatán</t>
  </si>
  <si>
    <t>016</t>
  </si>
  <si>
    <t>Catazajá</t>
  </si>
  <si>
    <t>017</t>
  </si>
  <si>
    <t>Cintalapa</t>
  </si>
  <si>
    <t>018</t>
  </si>
  <si>
    <t>Coapilla</t>
  </si>
  <si>
    <t>019</t>
  </si>
  <si>
    <t>Comitán de Domínguez</t>
  </si>
  <si>
    <t>020</t>
  </si>
  <si>
    <t>La Concordia</t>
  </si>
  <si>
    <t>021</t>
  </si>
  <si>
    <t>Copainalá</t>
  </si>
  <si>
    <t>022</t>
  </si>
  <si>
    <t>Chalchihuitán</t>
  </si>
  <si>
    <t>023</t>
  </si>
  <si>
    <t>Chamula</t>
  </si>
  <si>
    <t>024</t>
  </si>
  <si>
    <t>Chanal</t>
  </si>
  <si>
    <t>025</t>
  </si>
  <si>
    <t>Chapultenango</t>
  </si>
  <si>
    <t>026</t>
  </si>
  <si>
    <t>Chenalhó</t>
  </si>
  <si>
    <t>027</t>
  </si>
  <si>
    <t>Chiapa de Corzo</t>
  </si>
  <si>
    <t>028</t>
  </si>
  <si>
    <t>Chiapilla</t>
  </si>
  <si>
    <t>029</t>
  </si>
  <si>
    <t>Chicoasén</t>
  </si>
  <si>
    <t>030</t>
  </si>
  <si>
    <t>Chicomuselo</t>
  </si>
  <si>
    <t>031</t>
  </si>
  <si>
    <t>Chilón</t>
  </si>
  <si>
    <t>032</t>
  </si>
  <si>
    <t>Escuintla</t>
  </si>
  <si>
    <t>033</t>
  </si>
  <si>
    <t>Francisco León</t>
  </si>
  <si>
    <t>034</t>
  </si>
  <si>
    <t>Frontera Comalapa</t>
  </si>
  <si>
    <t>035</t>
  </si>
  <si>
    <t>Frontera Hidalgo</t>
  </si>
  <si>
    <t>036</t>
  </si>
  <si>
    <t>La Grandeza</t>
  </si>
  <si>
    <t>037</t>
  </si>
  <si>
    <t>Huehuetán</t>
  </si>
  <si>
    <t>038</t>
  </si>
  <si>
    <t>Huixtán</t>
  </si>
  <si>
    <t>039</t>
  </si>
  <si>
    <t>Huitiupán</t>
  </si>
  <si>
    <t>040</t>
  </si>
  <si>
    <t>Huixtla</t>
  </si>
  <si>
    <t>041</t>
  </si>
  <si>
    <t>La Independencia</t>
  </si>
  <si>
    <t>042</t>
  </si>
  <si>
    <t>Ixhuatán</t>
  </si>
  <si>
    <t>043</t>
  </si>
  <si>
    <t>Ixtacomitán</t>
  </si>
  <si>
    <t>044</t>
  </si>
  <si>
    <t>Ixtapa</t>
  </si>
  <si>
    <t>045</t>
  </si>
  <si>
    <t>Ixtapangajoya</t>
  </si>
  <si>
    <t>046</t>
  </si>
  <si>
    <t>Jiquipilas</t>
  </si>
  <si>
    <t>047</t>
  </si>
  <si>
    <t>Jitotol</t>
  </si>
  <si>
    <t>048</t>
  </si>
  <si>
    <t>Juárez</t>
  </si>
  <si>
    <t>049</t>
  </si>
  <si>
    <t>Larráinzar</t>
  </si>
  <si>
    <t>050</t>
  </si>
  <si>
    <t>La Libertad</t>
  </si>
  <si>
    <t>051</t>
  </si>
  <si>
    <t>Mapastepec</t>
  </si>
  <si>
    <t>052</t>
  </si>
  <si>
    <t>Las Margaritas</t>
  </si>
  <si>
    <t>053</t>
  </si>
  <si>
    <t>Mazapa de Madero</t>
  </si>
  <si>
    <t>054</t>
  </si>
  <si>
    <t>Mazatán</t>
  </si>
  <si>
    <t>055</t>
  </si>
  <si>
    <t>Metapa</t>
  </si>
  <si>
    <t>056</t>
  </si>
  <si>
    <t>Mitontic</t>
  </si>
  <si>
    <t>057</t>
  </si>
  <si>
    <t>Motozintla</t>
  </si>
  <si>
    <t>058</t>
  </si>
  <si>
    <t>Nicolás Ruíz</t>
  </si>
  <si>
    <t>059</t>
  </si>
  <si>
    <t>Ocosingo</t>
  </si>
  <si>
    <t>060</t>
  </si>
  <si>
    <t>Ocotepec</t>
  </si>
  <si>
    <t>061</t>
  </si>
  <si>
    <t>Ocozocoautla de Espinosa</t>
  </si>
  <si>
    <t>062</t>
  </si>
  <si>
    <t>Ostuacán</t>
  </si>
  <si>
    <t>063</t>
  </si>
  <si>
    <t>Osumacinta</t>
  </si>
  <si>
    <t>064</t>
  </si>
  <si>
    <t>Oxchuc</t>
  </si>
  <si>
    <t>065</t>
  </si>
  <si>
    <t>Palenque</t>
  </si>
  <si>
    <t>066</t>
  </si>
  <si>
    <t>Pantelhó</t>
  </si>
  <si>
    <t>067</t>
  </si>
  <si>
    <t>Pantepec</t>
  </si>
  <si>
    <t>068</t>
  </si>
  <si>
    <t>Pichucalco</t>
  </si>
  <si>
    <t>069</t>
  </si>
  <si>
    <t>Pijijiapan</t>
  </si>
  <si>
    <t>070</t>
  </si>
  <si>
    <t>El Porvenir</t>
  </si>
  <si>
    <t>071</t>
  </si>
  <si>
    <t>Villa Comaltitlán</t>
  </si>
  <si>
    <t>072</t>
  </si>
  <si>
    <t>Pueblo Nuevo Solistahuacán</t>
  </si>
  <si>
    <t>073</t>
  </si>
  <si>
    <t>Rayón</t>
  </si>
  <si>
    <t>074</t>
  </si>
  <si>
    <t>Reforma</t>
  </si>
  <si>
    <t>075</t>
  </si>
  <si>
    <t>Las Rosas</t>
  </si>
  <si>
    <t>076</t>
  </si>
  <si>
    <t>Sabanilla</t>
  </si>
  <si>
    <t>077</t>
  </si>
  <si>
    <t>Salto de Agua</t>
  </si>
  <si>
    <t>078</t>
  </si>
  <si>
    <t>San Cristóbal de las Casas</t>
  </si>
  <si>
    <t>079</t>
  </si>
  <si>
    <t>San Fernando</t>
  </si>
  <si>
    <t>080</t>
  </si>
  <si>
    <t>Siltepec</t>
  </si>
  <si>
    <t>081</t>
  </si>
  <si>
    <t>Simojovel</t>
  </si>
  <si>
    <t>082</t>
  </si>
  <si>
    <t>Sitalá</t>
  </si>
  <si>
    <t>083</t>
  </si>
  <si>
    <t>Socoltenango</t>
  </si>
  <si>
    <t>084</t>
  </si>
  <si>
    <t>Solosuchiapa</t>
  </si>
  <si>
    <t>085</t>
  </si>
  <si>
    <t>Soyaló</t>
  </si>
  <si>
    <t>086</t>
  </si>
  <si>
    <t>Suchiapa</t>
  </si>
  <si>
    <t>087</t>
  </si>
  <si>
    <t>Suchiate</t>
  </si>
  <si>
    <t>088</t>
  </si>
  <si>
    <t>Sunuapa</t>
  </si>
  <si>
    <t>089</t>
  </si>
  <si>
    <t>Tapachula</t>
  </si>
  <si>
    <t>090</t>
  </si>
  <si>
    <t>Tapalapa</t>
  </si>
  <si>
    <t>091</t>
  </si>
  <si>
    <t>Tapilula</t>
  </si>
  <si>
    <t>092</t>
  </si>
  <si>
    <t>Tecpatán</t>
  </si>
  <si>
    <t>093</t>
  </si>
  <si>
    <t>Tenejapa</t>
  </si>
  <si>
    <t>094</t>
  </si>
  <si>
    <t>Teopisca</t>
  </si>
  <si>
    <t>096</t>
  </si>
  <si>
    <t>Tila</t>
  </si>
  <si>
    <t>097</t>
  </si>
  <si>
    <t>Tonalá</t>
  </si>
  <si>
    <t>098</t>
  </si>
  <si>
    <t>Totolapa</t>
  </si>
  <si>
    <t>099</t>
  </si>
  <si>
    <t>La Trinitaria</t>
  </si>
  <si>
    <t>100</t>
  </si>
  <si>
    <t>Tumbalá</t>
  </si>
  <si>
    <t>101</t>
  </si>
  <si>
    <t>Tuxtla Gutiérrez</t>
  </si>
  <si>
    <t>102</t>
  </si>
  <si>
    <t>Tuxtla Chico</t>
  </si>
  <si>
    <t>103</t>
  </si>
  <si>
    <t>Tuzantán</t>
  </si>
  <si>
    <t>104</t>
  </si>
  <si>
    <t>Tzimol</t>
  </si>
  <si>
    <t>105</t>
  </si>
  <si>
    <t>Unión Juárez</t>
  </si>
  <si>
    <t>106</t>
  </si>
  <si>
    <t>Venustiano Carranza</t>
  </si>
  <si>
    <t>107</t>
  </si>
  <si>
    <t>Villa Corzo</t>
  </si>
  <si>
    <t>108</t>
  </si>
  <si>
    <t>Villaflores</t>
  </si>
  <si>
    <t>109</t>
  </si>
  <si>
    <t>Yajalón</t>
  </si>
  <si>
    <t>110</t>
  </si>
  <si>
    <t>San Lucas</t>
  </si>
  <si>
    <t>111</t>
  </si>
  <si>
    <t>Zinacantán</t>
  </si>
  <si>
    <t>112</t>
  </si>
  <si>
    <t>San Juan Cancuc</t>
  </si>
  <si>
    <t>113</t>
  </si>
  <si>
    <t>Aldama</t>
  </si>
  <si>
    <t>114</t>
  </si>
  <si>
    <t>Benemérito de las Américas</t>
  </si>
  <si>
    <t>115</t>
  </si>
  <si>
    <t>Maravilla Tenejapa</t>
  </si>
  <si>
    <t>116</t>
  </si>
  <si>
    <t>Marqués de Comillas</t>
  </si>
  <si>
    <t>117</t>
  </si>
  <si>
    <t>Montecristo de Guerrero</t>
  </si>
  <si>
    <t>118</t>
  </si>
  <si>
    <t>San Andrés Duraznal</t>
  </si>
  <si>
    <t>119</t>
  </si>
  <si>
    <t>Santiago el Pinar</t>
  </si>
  <si>
    <t>120</t>
  </si>
  <si>
    <t>Capitan Luis Ángel Vidal</t>
  </si>
  <si>
    <t>121</t>
  </si>
  <si>
    <t>Rincón Chamula San Pedro</t>
  </si>
  <si>
    <t>122</t>
  </si>
  <si>
    <t>El Parral</t>
  </si>
  <si>
    <t>123</t>
  </si>
  <si>
    <t>Emiliano Zapata</t>
  </si>
  <si>
    <t>124</t>
  </si>
  <si>
    <t>Mezcalapa</t>
  </si>
  <si>
    <t>125</t>
  </si>
  <si>
    <t>Honduras de la Sierra</t>
  </si>
  <si>
    <t>POB TOT 2000</t>
  </si>
  <si>
    <t>PT_00</t>
  </si>
  <si>
    <t>PT_10</t>
  </si>
  <si>
    <t>POB TOT 2010</t>
  </si>
  <si>
    <t>POB TOT 2020</t>
  </si>
  <si>
    <t>PT_20</t>
  </si>
  <si>
    <t>DH_10-20</t>
  </si>
  <si>
    <t>DIF_HAB_10-20</t>
  </si>
  <si>
    <t>DIF_%_10-20</t>
  </si>
  <si>
    <t>D%_10-20</t>
  </si>
  <si>
    <t>PH_20</t>
  </si>
  <si>
    <t>PM_20</t>
  </si>
  <si>
    <t>POB_TOT_HOM_20</t>
  </si>
  <si>
    <t>POB_TOT_MUJ_20</t>
  </si>
  <si>
    <t>PU_20</t>
  </si>
  <si>
    <t>PR_20</t>
  </si>
  <si>
    <t>POB_URB_20</t>
  </si>
  <si>
    <t>POB_RUR_20</t>
  </si>
  <si>
    <t>POBH_00-04</t>
  </si>
  <si>
    <t>POBH_05-09</t>
  </si>
  <si>
    <t>POBH_10-14</t>
  </si>
  <si>
    <t>POBH_15-19</t>
  </si>
  <si>
    <t>POBH_20-24</t>
  </si>
  <si>
    <t>POBH_25-29</t>
  </si>
  <si>
    <t>POBH_30-34</t>
  </si>
  <si>
    <t>POBH_35-39</t>
  </si>
  <si>
    <t>POBH_40-44</t>
  </si>
  <si>
    <t>POBH_45-49</t>
  </si>
  <si>
    <t>POBH_50-54</t>
  </si>
  <si>
    <t>POBH_55-59</t>
  </si>
  <si>
    <t>POBH_60-64</t>
  </si>
  <si>
    <t>POBH_65_y_más</t>
  </si>
  <si>
    <t>POBM_00-04</t>
  </si>
  <si>
    <t>POBM_05-09</t>
  </si>
  <si>
    <t>POBM_10-14</t>
  </si>
  <si>
    <t>POBM_15-19</t>
  </si>
  <si>
    <t>POBM_20-24</t>
  </si>
  <si>
    <t>POBM_25-29</t>
  </si>
  <si>
    <t>POBM_30-34</t>
  </si>
  <si>
    <t>POBM_35-39</t>
  </si>
  <si>
    <t>POBM_40-44</t>
  </si>
  <si>
    <t>POBM_45-49</t>
  </si>
  <si>
    <t>POBM_50-54</t>
  </si>
  <si>
    <t>POBM_55-59</t>
  </si>
  <si>
    <t>POBM_60-64</t>
  </si>
  <si>
    <t>POB_MUJ_60-64 años_20</t>
  </si>
  <si>
    <t>POB_MUJ_55-59 años_20</t>
  </si>
  <si>
    <t>POB_MUJ_50-54 años_20</t>
  </si>
  <si>
    <t>POB_MUJ_45-49 años_20</t>
  </si>
  <si>
    <t>POB_MUJ_40-44 años_20</t>
  </si>
  <si>
    <t>POB_MUJ_35-39 años_20</t>
  </si>
  <si>
    <t>POB_MUJ_30-34 años_20</t>
  </si>
  <si>
    <t>POB_MUJ_25-29 años_20</t>
  </si>
  <si>
    <t>POB_MUJ_20-24 años_20</t>
  </si>
  <si>
    <t>POB_MUJ_15-19 años_20</t>
  </si>
  <si>
    <t>POB_MUJ_10-14 años_20</t>
  </si>
  <si>
    <t>POB_MUJ_05-09 años_20</t>
  </si>
  <si>
    <t>POB_MUJ_00-04 años_20</t>
  </si>
  <si>
    <t>POB_HOM_65 y más años_20</t>
  </si>
  <si>
    <t>POB_HOM_60-64 años_20</t>
  </si>
  <si>
    <t>POB_HOM_55-59 años_20</t>
  </si>
  <si>
    <t>POB_HOM_50-54 años_20</t>
  </si>
  <si>
    <t>POB_HOM_45-49 años_20</t>
  </si>
  <si>
    <t>POB_HOM_40-44 años_20</t>
  </si>
  <si>
    <t>POB_HOM_35-39 años_20</t>
  </si>
  <si>
    <t>POB_HOM_30-34 años_20</t>
  </si>
  <si>
    <t>POB_HOM_25-29 años_20</t>
  </si>
  <si>
    <t>POB_HOM_20-24 años_20</t>
  </si>
  <si>
    <t>POB_HOM_15-19 años_20</t>
  </si>
  <si>
    <t>POB_HOM_10-14 años_20</t>
  </si>
  <si>
    <t>POB_HOM_05-09 años_20</t>
  </si>
  <si>
    <t>POB_HOM_00-04 años_20</t>
  </si>
  <si>
    <t>ND</t>
  </si>
  <si>
    <t>Habitantes</t>
  </si>
  <si>
    <t>%</t>
  </si>
  <si>
    <t>Relación hombres-mujeres</t>
  </si>
  <si>
    <t>Urbana</t>
  </si>
  <si>
    <t>Rural</t>
  </si>
  <si>
    <t>En la entidad</t>
  </si>
  <si>
    <t>En otra entidad</t>
  </si>
  <si>
    <t>En los Estados Unidos de Ámerica</t>
  </si>
  <si>
    <t>En otro país</t>
  </si>
  <si>
    <t>Grupo Quinquenal</t>
  </si>
  <si>
    <t>00-04 Años</t>
  </si>
  <si>
    <t>05-09 Años</t>
  </si>
  <si>
    <t>10-14 Años</t>
  </si>
  <si>
    <t>15-19 Años</t>
  </si>
  <si>
    <t>20-24 Años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</si>
  <si>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</si>
  <si>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</si>
  <si>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</si>
  <si>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</si>
  <si>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</si>
  <si>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</si>
  <si>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</si>
  <si>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60-64 Años</t>
  </si>
  <si>
    <t>65 y más años</t>
  </si>
  <si>
    <t>SERVICIOS EN LAS VIVIENDAS</t>
  </si>
  <si>
    <t>ESPACIO DE LAS VIVIENDAS</t>
  </si>
  <si>
    <t>2020</t>
  </si>
  <si>
    <t>2010</t>
  </si>
  <si>
    <t>2000</t>
  </si>
  <si>
    <t>POBH_NE</t>
  </si>
  <si>
    <t>POB_HOM_NO_ESP_20</t>
  </si>
  <si>
    <t>NA</t>
  </si>
  <si>
    <t>P_HLI_20</t>
  </si>
  <si>
    <t>P_H__HLI</t>
  </si>
  <si>
    <t>P_F_HLI</t>
  </si>
  <si>
    <t>P_HLI_00</t>
  </si>
  <si>
    <t>P_HLI_10</t>
  </si>
  <si>
    <t>POB_3_Y_MAS_HAB_L_I_2010</t>
  </si>
  <si>
    <t>POB_3_Y_MAS_HAB_L_I_2000</t>
  </si>
  <si>
    <t>POB_FEM_3_Y_MAS_HAB_L_I_2020</t>
  </si>
  <si>
    <t>POB_HOM_3_Y_MAS_HAB_L_I_2020</t>
  </si>
  <si>
    <t>POB_3_Y_MAS_HAB_L_I_2020</t>
  </si>
  <si>
    <t>POB_NAC_NO_ESP_2020</t>
  </si>
  <si>
    <t>P_NA_NE_20</t>
  </si>
  <si>
    <t>POB_NAC_OTR_PAI_2020</t>
  </si>
  <si>
    <t>P_NA_O_PAI_20</t>
  </si>
  <si>
    <t>P_NA_EUA_20</t>
  </si>
  <si>
    <t>POB_NAC_EUA_2020</t>
  </si>
  <si>
    <t>P_NA_O_ENT_20</t>
  </si>
  <si>
    <t>POB_NAC_OTR_ENT_2020</t>
  </si>
  <si>
    <t>P_NA_ENT_20</t>
  </si>
  <si>
    <t>POB_NAC_ENT_2020</t>
  </si>
  <si>
    <t>POBM_NE_20</t>
  </si>
  <si>
    <t>POB_MUJ_NO_ESP_2020</t>
  </si>
  <si>
    <t>POB_MUJ_65 y más años_2020</t>
  </si>
  <si>
    <t>POBM_65ymas_20</t>
  </si>
  <si>
    <t>Población de 3 años y más HLI</t>
  </si>
  <si>
    <t>POB_3_Y_MAS_HAB_L_I_URB_2020</t>
  </si>
  <si>
    <t>P_HLI_URB_20</t>
  </si>
  <si>
    <t>POB_3_Y_MAS_HAB_L_I_RUR_2020</t>
  </si>
  <si>
    <t>P_HLI_RUR_20</t>
  </si>
  <si>
    <t>PH_3-4_HLI_20</t>
  </si>
  <si>
    <t>PM_3-4_HLI_20</t>
  </si>
  <si>
    <t>POB_HOM_3-4_HAB_L_I_2020</t>
  </si>
  <si>
    <t>POB_MUJ_3-4_HAB_L_I_2020</t>
  </si>
  <si>
    <t>POB_HOM_5-9_HAB_L_I_2020</t>
  </si>
  <si>
    <t>PH_5-9_HLI_20</t>
  </si>
  <si>
    <t>POB_MUJ_5-9_HAB_L_I_2020</t>
  </si>
  <si>
    <t>PM_5-9_HLI_20</t>
  </si>
  <si>
    <t>POB_HOM_10-14_HAB_L_I_2020</t>
  </si>
  <si>
    <t>PH_10-14_HLI_20</t>
  </si>
  <si>
    <t>POB_MUJ_10-14_HAB_L_I_2020</t>
  </si>
  <si>
    <t>PM_10-14_HLI_20</t>
  </si>
  <si>
    <t>POB_HOM_15-19_HAB_L_I_2020</t>
  </si>
  <si>
    <t>PH_15-19_HLI_20</t>
  </si>
  <si>
    <t>POB_MUJ_15-19_HAB_L_I_2020</t>
  </si>
  <si>
    <t>PM_15-19_HLI_20</t>
  </si>
  <si>
    <t>POB_HOM_20-24_HAB_L_I_2020</t>
  </si>
  <si>
    <t>PH_20-24_HLI_20</t>
  </si>
  <si>
    <t>POB_MUJ_20-24_HAB_L_I_2020</t>
  </si>
  <si>
    <t>PM_20-24_HLI_20</t>
  </si>
  <si>
    <t>POB_HOM_25-29_HAB_L_I_2020</t>
  </si>
  <si>
    <t>PH_25-29_HLI_20</t>
  </si>
  <si>
    <t>POB_MUJ_25-29_HAB_L_I_2020</t>
  </si>
  <si>
    <t>PM_25-29_HLI_20</t>
  </si>
  <si>
    <t>POB_HOM_30-34_HAB_L_I_2020</t>
  </si>
  <si>
    <t>PH_30-34_HLI_20</t>
  </si>
  <si>
    <t>POB_MUJ_30-34_HAB_L_I_2020</t>
  </si>
  <si>
    <t>PM_30-34_HLI_20</t>
  </si>
  <si>
    <t>POB_HOM_35-39_HAB_L_I_2020</t>
  </si>
  <si>
    <t>PH_35-39_HLI_20</t>
  </si>
  <si>
    <t>POB_MUJ_40-44_HAB_L_I_2020</t>
  </si>
  <si>
    <t>PM_40-44_HLI_20</t>
  </si>
  <si>
    <t>POB_MUJ_35-39_HAB_L_I_2020</t>
  </si>
  <si>
    <t>PM_35-39_HLI_20</t>
  </si>
  <si>
    <t>POB_HOM_40-44_HAB_L_I_2020</t>
  </si>
  <si>
    <t>PH_40-44_HLI_20</t>
  </si>
  <si>
    <t>POB_HOM_45-49_HAB_L_I_2020</t>
  </si>
  <si>
    <t>PH_45-49_HLI_20</t>
  </si>
  <si>
    <t>POB_MUJ_45-49_HAB_L_I_2020</t>
  </si>
  <si>
    <t>PM_45-49_HLI_20</t>
  </si>
  <si>
    <t>POB_HOM_50-54_HAB_L_I_2020</t>
  </si>
  <si>
    <t>PH_50-54_HLI_20</t>
  </si>
  <si>
    <t>POB_MUJ_50-54_HAB_L_I_2020</t>
  </si>
  <si>
    <t>PM_50-54_HLI_20</t>
  </si>
  <si>
    <t>POB_HOM_55-59_HAB_L_I_2020</t>
  </si>
  <si>
    <t>PH_55-59_HLI_20</t>
  </si>
  <si>
    <t>POB_MUJ_55-59_HAB_L_I_2020</t>
  </si>
  <si>
    <t>PM_55-59_HLI_20</t>
  </si>
  <si>
    <t>POB_HOM_60-64_HAB_L_I_2020</t>
  </si>
  <si>
    <t>PH_60-64_HLI_20</t>
  </si>
  <si>
    <t>POB_MUJ_60-64_HAB_L_I_2020</t>
  </si>
  <si>
    <t>PM_60-64_HLI_20</t>
  </si>
  <si>
    <t>POB_HOM_65_Y_MAS_HAB_L_I_2020</t>
  </si>
  <si>
    <t>PH_65_MAS_HLI_20</t>
  </si>
  <si>
    <t>PM_65_MAS_HLI_20</t>
  </si>
  <si>
    <t>POB_MUJ_65_Y_MAS_HAB_L_I_2020</t>
  </si>
  <si>
    <t>03-04 Años</t>
  </si>
  <si>
    <t>POB_HOM_3_Y_MAS_HAB_L_I_Y_ESP_2020</t>
  </si>
  <si>
    <t>POB_MUJ_3_Y_MAS_HAB_L_I_Y_ESP_2020</t>
  </si>
  <si>
    <t>POB_HOM_3_Y_MAS_HAB_L_I_NO_ESP_2020</t>
  </si>
  <si>
    <t>POB_MUJ_3_Y_MAS_HAB_L_I_NO_ESP_2020</t>
  </si>
  <si>
    <t>PH_HLI_ESP_20</t>
  </si>
  <si>
    <t>PM_HLI_ESP_20</t>
  </si>
  <si>
    <t>PH_HLI_NOESP_20</t>
  </si>
  <si>
    <t>PM_HLI_NOESP_20</t>
  </si>
  <si>
    <t>Hombres que hablan español</t>
  </si>
  <si>
    <t>Mujeres que hablan español</t>
  </si>
  <si>
    <t>No hablan español</t>
  </si>
  <si>
    <t>Hablan español</t>
  </si>
  <si>
    <t>Hombres que no hablan español</t>
  </si>
  <si>
    <t>Mujeres que no hablan español</t>
  </si>
  <si>
    <t>Población total</t>
  </si>
  <si>
    <t>Por tipo de localidad</t>
  </si>
  <si>
    <t>Por sexo</t>
  </si>
  <si>
    <t>Por lugar de nacimiento</t>
  </si>
  <si>
    <t>Mujer</t>
  </si>
  <si>
    <t>Hombre</t>
  </si>
  <si>
    <t>1 integrante</t>
  </si>
  <si>
    <t>2 integrantes</t>
  </si>
  <si>
    <t>3 integrantes</t>
  </si>
  <si>
    <t>4 integrantes</t>
  </si>
  <si>
    <t>5 integrantes</t>
  </si>
  <si>
    <t>6 y más integrantes</t>
  </si>
  <si>
    <t>HOG_JEF_HOM_2020</t>
  </si>
  <si>
    <t>HOG_JEF_MUJ_2020</t>
  </si>
  <si>
    <t>HOG_J_H_20</t>
  </si>
  <si>
    <t>HOG_J_M_20</t>
  </si>
  <si>
    <t>POB_HOG_JEF_HOM_2020</t>
  </si>
  <si>
    <t>POB_HOG_J_H_20</t>
  </si>
  <si>
    <t>POB_HOG_JEF_MUJ_2020</t>
  </si>
  <si>
    <t>POB_HOG_J_M_20</t>
  </si>
  <si>
    <t>Hogares</t>
  </si>
  <si>
    <t>HOG_1_INTEG_2020</t>
  </si>
  <si>
    <t>HOG_1_INT_20</t>
  </si>
  <si>
    <t>HOG_2_INT_20</t>
  </si>
  <si>
    <t>HOG_2_INTEG_2020</t>
  </si>
  <si>
    <t>HOG_3_INT_20</t>
  </si>
  <si>
    <t>HOG_3_INTEG_2020</t>
  </si>
  <si>
    <t>HOG_4_INT_20</t>
  </si>
  <si>
    <t>HOG_4_INTEG_2020</t>
  </si>
  <si>
    <t>HOG_5_INT_20</t>
  </si>
  <si>
    <t>HOG_5_INTEG_2020</t>
  </si>
  <si>
    <t>HOG_6o+_INT_20</t>
  </si>
  <si>
    <t>HOG_6_Y_MAS_INTEG_2020</t>
  </si>
  <si>
    <t>P_H_REL_ESP_20</t>
  </si>
  <si>
    <t>POB_HOG_REL_JEF_ESP_2020</t>
  </si>
  <si>
    <t>POB_HOG_REL_JEF_HIJ_2020</t>
  </si>
  <si>
    <t>P_H_REL_HIJ_20</t>
  </si>
  <si>
    <t>POB_HOG_REL_JEF_NIET_2020</t>
  </si>
  <si>
    <t>P_H_REL_NIE_20</t>
  </si>
  <si>
    <t>POB_HOG_REL_JEF_NUER_2020</t>
  </si>
  <si>
    <t>P_H_REL_NUE_20</t>
  </si>
  <si>
    <t>POB_HOG_REL_JEF_MADR_2020</t>
  </si>
  <si>
    <t>P_H_REL_MAD_20</t>
  </si>
  <si>
    <t>POB_HOG_REL_JEF_OTR_2020</t>
  </si>
  <si>
    <t>P_H_REL_OTR_20</t>
  </si>
  <si>
    <t>P_H_REL_NIN_20</t>
  </si>
  <si>
    <t>POB_HOG_REL_JEF_NING_2020</t>
  </si>
  <si>
    <t>POB_HOG_FAM_NUCLEAR_2020</t>
  </si>
  <si>
    <t>P_H_FAM_NUC_20</t>
  </si>
  <si>
    <t>POB_HOG_FAM_AMPL_2020</t>
  </si>
  <si>
    <t>P_H_FAM_AMP_20</t>
  </si>
  <si>
    <t>POB_HOG_FAM_COMP_2020</t>
  </si>
  <si>
    <t>P_H_FAM_COMP_20</t>
  </si>
  <si>
    <t>POB_HOG_NO_FAM_UNIPERS_2020</t>
  </si>
  <si>
    <t>P_H_NFAM_UNI_20</t>
  </si>
  <si>
    <t>POB_HOG_NO_FAM_CORR_2020</t>
  </si>
  <si>
    <t>P_H_NFAM_CORR_20</t>
  </si>
  <si>
    <t>Población</t>
  </si>
  <si>
    <t>Familiar nuclear</t>
  </si>
  <si>
    <t>Familiar ampliado</t>
  </si>
  <si>
    <t>Familiar compuesto</t>
  </si>
  <si>
    <t>No familiar unipersonal</t>
  </si>
  <si>
    <t>No familiar de corresidente</t>
  </si>
  <si>
    <t>Esposa (o) o compañera (o)</t>
  </si>
  <si>
    <t>Hija (o)</t>
  </si>
  <si>
    <t>Nieta (o)</t>
  </si>
  <si>
    <t>Nuera o yerno</t>
  </si>
  <si>
    <t>Madre, padre o suegra (o)</t>
  </si>
  <si>
    <t>Otro parentesco</t>
  </si>
  <si>
    <t>Sin parentesco</t>
  </si>
  <si>
    <t xml:space="preserve">Población por tamaño de localidad </t>
  </si>
  <si>
    <t>En localidades de 500 a 2,499 habitantes</t>
  </si>
  <si>
    <t>En localidades de 2,500 a 4,999 habitantes</t>
  </si>
  <si>
    <t>En localidades de 5,000 a 9,999 habitantes</t>
  </si>
  <si>
    <t>En localidades de 1 a 249 habitantes</t>
  </si>
  <si>
    <t>En localidades de 10,000 a 49,999 habitantes</t>
  </si>
  <si>
    <t>En localidades de 50,000 a 99,999 habitantes</t>
  </si>
  <si>
    <t>En localidades de 100,000 y más habitantes</t>
  </si>
  <si>
    <t>De 1 a 249 habitantes</t>
  </si>
  <si>
    <t>De 250 a 499 habitantes</t>
  </si>
  <si>
    <t>En localidades de 250 a 499 habitantes</t>
  </si>
  <si>
    <t>De 500 a 2,499 habitantes</t>
  </si>
  <si>
    <t>De 2,500 a 4,999 habitantes</t>
  </si>
  <si>
    <t>De 5,000 a 9,999 habitantes</t>
  </si>
  <si>
    <t>De 10,000 a 49,999 habitantes</t>
  </si>
  <si>
    <t>De 50,000 a 99,999 habitantes</t>
  </si>
  <si>
    <t>De 100,000 y más habitantes</t>
  </si>
  <si>
    <t>POB_LOC_1-249_HAB_2020</t>
  </si>
  <si>
    <t>P_L_1-249_20</t>
  </si>
  <si>
    <t>POB_LOC_250-499_HAB_2020</t>
  </si>
  <si>
    <t>P_L_250-499_20</t>
  </si>
  <si>
    <t>POB_LOC_500-2499_HAB_2020</t>
  </si>
  <si>
    <t>P_L_500-2499_20</t>
  </si>
  <si>
    <t>POB_LOC_2500-4999_HAB_2020</t>
  </si>
  <si>
    <t>P_L_500-4999_20</t>
  </si>
  <si>
    <t>POB_LOC_5000-9999_HAB_2020</t>
  </si>
  <si>
    <t>P_L_5000-9999_20</t>
  </si>
  <si>
    <t>POB_LOC_10000-49999_HAB_2020</t>
  </si>
  <si>
    <t>P_L_10000-49999_20</t>
  </si>
  <si>
    <t>POB_LOC_50000-99999_HAB_2020</t>
  </si>
  <si>
    <t>P_L_50000-99999_20</t>
  </si>
  <si>
    <t>POB_LOC_100000_Y _MAS_HAB_2020</t>
  </si>
  <si>
    <t>P_L_100000+_20</t>
  </si>
  <si>
    <t>LOC_1-249_HAB_2020</t>
  </si>
  <si>
    <t>LOC_1-249_20</t>
  </si>
  <si>
    <t>LOC_250-499_HAB_2020</t>
  </si>
  <si>
    <t>LOC_250-499_20</t>
  </si>
  <si>
    <t>LOC_500-2499_HAB_2020</t>
  </si>
  <si>
    <t>LOC_500-2499_20</t>
  </si>
  <si>
    <t>LOC_2500-4999_HAB_2020</t>
  </si>
  <si>
    <t>LOC_500-4999_20</t>
  </si>
  <si>
    <t>LOC_5000-9999_HAB_2020</t>
  </si>
  <si>
    <t>LOC_5000-9999_20</t>
  </si>
  <si>
    <t>LOC_10000-49999_HAB_2020</t>
  </si>
  <si>
    <t>LOC_10000-49999_20</t>
  </si>
  <si>
    <t>LOC_50000-99999_HAB_2020</t>
  </si>
  <si>
    <t>LOC_50000-99999_20</t>
  </si>
  <si>
    <t>LOC_100000_Y _MAS_HAB_2020</t>
  </si>
  <si>
    <t>LOC_100000+_20</t>
  </si>
  <si>
    <t>Personas con alguna limitación</t>
  </si>
  <si>
    <t>Limitación para caminar o moverse</t>
  </si>
  <si>
    <t>Limitación para ver</t>
  </si>
  <si>
    <t>Limitación para escuchar</t>
  </si>
  <si>
    <t>Limitación para hablar o comunicarse</t>
  </si>
  <si>
    <t>Limitación para poner atención o aprender</t>
  </si>
  <si>
    <t>Limitación mental</t>
  </si>
  <si>
    <t>POB_HOM_LIM_CAMIN_2020</t>
  </si>
  <si>
    <t>POB_MUJ_LIM_CAMIN_2020</t>
  </si>
  <si>
    <t>PH_LCAM_20</t>
  </si>
  <si>
    <t>PM_LCAM_20</t>
  </si>
  <si>
    <t>POB_HOM_LIM_VER_2020</t>
  </si>
  <si>
    <t>PH_LVER_20</t>
  </si>
  <si>
    <t>POB_MUJ_LIM_VER_2020</t>
  </si>
  <si>
    <t>PM_LVER_20</t>
  </si>
  <si>
    <t>POB_HOM_LIM_ESCUCH_2020</t>
  </si>
  <si>
    <t>PH_LESC_20</t>
  </si>
  <si>
    <t>POB_MUJ_LIM_HABLAR_2020</t>
  </si>
  <si>
    <t>PM_LHAB_20</t>
  </si>
  <si>
    <t>POB_HOM_LIM_CUIPERS_2020</t>
  </si>
  <si>
    <t>PH_LPERS_20</t>
  </si>
  <si>
    <t>POB_MUJ_LIM_ESCUCH_2020</t>
  </si>
  <si>
    <t>PM_LESC_20</t>
  </si>
  <si>
    <t>POB_HOM_LIM_HABLAR_2020</t>
  </si>
  <si>
    <t>PH_LHAB_20</t>
  </si>
  <si>
    <t>POB_MUJ_LIM_CUIPERS_2020</t>
  </si>
  <si>
    <t>PM_LPERS_20</t>
  </si>
  <si>
    <t>POB_HOM_LIM_APREN_2020</t>
  </si>
  <si>
    <t>PH_LAPR_20</t>
  </si>
  <si>
    <t>POB_MUJ_LIM_APREN_2020</t>
  </si>
  <si>
    <t>PM_LAPR_20</t>
  </si>
  <si>
    <t>POB_HOM_LIM_MENTAL_2020</t>
  </si>
  <si>
    <t>PH_LMENT_20</t>
  </si>
  <si>
    <t>POB_MUJ_LIM_MENTAL_2020</t>
  </si>
  <si>
    <t>PM_LMENT_20</t>
  </si>
  <si>
    <t>Caminar o moverse</t>
  </si>
  <si>
    <t>Hablar o comunicarse</t>
  </si>
  <si>
    <t>Atender el cuidado personal</t>
  </si>
  <si>
    <t>Poner atención o aprender</t>
  </si>
  <si>
    <t>Mental</t>
  </si>
  <si>
    <t>Limitación</t>
  </si>
  <si>
    <t>Valor</t>
  </si>
  <si>
    <t>Ver</t>
  </si>
  <si>
    <t>Escuchar</t>
  </si>
  <si>
    <t>PDER_LCAM_20</t>
  </si>
  <si>
    <t>POB_DERECH_LIM_VER_2020</t>
  </si>
  <si>
    <t>POB_DERECH_LIM_ESCUCH_2020</t>
  </si>
  <si>
    <t>POB_DERECH_LIM_HABLAR_2020</t>
  </si>
  <si>
    <t>POB_DERECH_LIM_CUIPERS_2020</t>
  </si>
  <si>
    <t>POB_DERECH_LIM_APREN_2020</t>
  </si>
  <si>
    <t>POB_DERECH_LIM_MENTAL_2020</t>
  </si>
  <si>
    <t>PDER_LMENT_20</t>
  </si>
  <si>
    <t>PDER_LAPR_20</t>
  </si>
  <si>
    <t>PDER_LPERS_20</t>
  </si>
  <si>
    <t>PDER_LHAB_20</t>
  </si>
  <si>
    <t>PDER_LESC_20</t>
  </si>
  <si>
    <t>PDER_LVER_20</t>
  </si>
  <si>
    <t>POB_DERECH_LIM_CAMIN_2020</t>
  </si>
  <si>
    <t>OCUPACIÓN</t>
  </si>
  <si>
    <r>
      <t>Ingreso por trabajo</t>
    </r>
    <r>
      <rPr>
        <b/>
        <vertAlign val="superscript"/>
        <sz val="9"/>
        <color theme="0"/>
        <rFont val="Gotham Book"/>
        <family val="3"/>
      </rPr>
      <t>1</t>
    </r>
  </si>
  <si>
    <t>PEA_HOM_2020</t>
  </si>
  <si>
    <t>PEAO_HOM_2020</t>
  </si>
  <si>
    <t>PEAD_HOM_2020</t>
  </si>
  <si>
    <t>PNEA_HOM_2020</t>
  </si>
  <si>
    <t>PEA_MUJ_2020</t>
  </si>
  <si>
    <t>PEAO_MUJ_2020</t>
  </si>
  <si>
    <t>PEAD_MUJ_2020</t>
  </si>
  <si>
    <t>PNEA_MUJ_2020</t>
  </si>
  <si>
    <t>PEA_H_20</t>
  </si>
  <si>
    <t>PEAO_H_20</t>
  </si>
  <si>
    <t>PEAD_H_20</t>
  </si>
  <si>
    <t>PNEA_H_20</t>
  </si>
  <si>
    <t>PEA_M_20</t>
  </si>
  <si>
    <t>PEAO_M_20</t>
  </si>
  <si>
    <t>PEAD_M_20</t>
  </si>
  <si>
    <t>PNEA_M_20</t>
  </si>
  <si>
    <t>POBLACIÓN HABLANTE DE LENGUA INDÍGENA</t>
  </si>
  <si>
    <t>Tasa específica de participación</t>
  </si>
  <si>
    <t>PEA por escolaridad</t>
  </si>
  <si>
    <t>Primario</t>
  </si>
  <si>
    <t>Secundario</t>
  </si>
  <si>
    <t>Comercio</t>
  </si>
  <si>
    <t>Servicios</t>
  </si>
  <si>
    <t>Primaria</t>
  </si>
  <si>
    <t>Secundaria incompleta</t>
  </si>
  <si>
    <t>Secundaria completa</t>
  </si>
  <si>
    <t>Estudios técnicos comerciales</t>
  </si>
  <si>
    <t>Media superior</t>
  </si>
  <si>
    <t>Superior</t>
  </si>
  <si>
    <t>Sin escolaridad</t>
  </si>
  <si>
    <t>No economicamente activa (PNEA)</t>
  </si>
  <si>
    <t>Economicamente activa (PEA)</t>
  </si>
  <si>
    <t>Economicamente activa desocupada</t>
  </si>
  <si>
    <t>Economicamente activa cupada (PEAO)</t>
  </si>
  <si>
    <t>POC_PRIM_20</t>
  </si>
  <si>
    <t>POC_SEC_20</t>
  </si>
  <si>
    <t>POC_COM_20</t>
  </si>
  <si>
    <t>POC_SERV_20</t>
  </si>
  <si>
    <t>POC_NESP_20</t>
  </si>
  <si>
    <t>%_POB_OC_PRIMARIO_2020</t>
  </si>
  <si>
    <t>%_POB_OC_SECUNDARIO_2020</t>
  </si>
  <si>
    <t>%_POB_OC_COMERCIO_2020</t>
  </si>
  <si>
    <t>%_POB_OC_SERVICIOS_2020</t>
  </si>
  <si>
    <t>%_POB_OC_NO_ESP_2020</t>
  </si>
  <si>
    <t>PEA_S_ESC_Y_PRIM_2020</t>
  </si>
  <si>
    <t>PEA_CON_PRIM_2020</t>
  </si>
  <si>
    <t>PEA_CON_SEC_INCOMP_2020</t>
  </si>
  <si>
    <t>PEA_CON_SEC_COMP_2020</t>
  </si>
  <si>
    <t>PEA_CON_EST_TEC_C_PRIM_TERM_2020</t>
  </si>
  <si>
    <t>PEA_CON_ED_SUP_2020</t>
  </si>
  <si>
    <t>PEA_CON_ED_MED_SUP_2020</t>
  </si>
  <si>
    <t>PEA_S_ESC_20</t>
  </si>
  <si>
    <t>PEA_C_PRI_20</t>
  </si>
  <si>
    <t>PEA_C_SEC_IN_20</t>
  </si>
  <si>
    <t>PEA_C_SEC_COM_20</t>
  </si>
  <si>
    <t>PEA_C_EST_TEC_20</t>
  </si>
  <si>
    <t>PEA_C_E_SUP_20</t>
  </si>
  <si>
    <t>PEA_C_E_MED_20</t>
  </si>
  <si>
    <t>%_PEAO_1SALMIN_2020</t>
  </si>
  <si>
    <t>%_PEAO_MAS_1-2_SALMIN_2020</t>
  </si>
  <si>
    <t>%_PEAO_MAS_2_SALMIN_2020</t>
  </si>
  <si>
    <t>%_PEAO_INGR_NO_ESP_2020</t>
  </si>
  <si>
    <t>PEAO_1SALMIN_20</t>
  </si>
  <si>
    <t>PEAO_MAS_1-2_SALMIN_20</t>
  </si>
  <si>
    <t>PEAO_MAS_2_SALMIN_20</t>
  </si>
  <si>
    <t>PEAO_ING_NE_20</t>
  </si>
  <si>
    <t>Hasta 1 s.m.</t>
  </si>
  <si>
    <t>No esp.</t>
  </si>
  <si>
    <t>Derechohabiente</t>
  </si>
  <si>
    <t>No derechohabiente</t>
  </si>
  <si>
    <t>ISSSTE Estatal</t>
  </si>
  <si>
    <t>PEMEX, Defensa o Marina</t>
  </si>
  <si>
    <t>Institución privada</t>
  </si>
  <si>
    <t>Otra institución</t>
  </si>
  <si>
    <t>Edad</t>
  </si>
  <si>
    <t>85 y más años</t>
  </si>
  <si>
    <t>POB_DERECH_HOMB_IMSS_2020</t>
  </si>
  <si>
    <t>POB_DERECH_HOMB_ISSSTE_2020</t>
  </si>
  <si>
    <t>POB_DERECH_HOMB_ISSSTE_EST_2020</t>
  </si>
  <si>
    <t>POB_DERECH_HOMB_PEMEX_2020</t>
  </si>
  <si>
    <t>POB_DERECH_HOMB_SEG_POP_2020</t>
  </si>
  <si>
    <t>POB_DERECH_HOMB_PRIV_2020</t>
  </si>
  <si>
    <t>POB_DERECH_HOMB_NO_ESP_2020</t>
  </si>
  <si>
    <t>POB_DERECH_HOMB_2020</t>
  </si>
  <si>
    <t>POB_NO_DERECH_HOMB_2020</t>
  </si>
  <si>
    <t>POB_DERECH_HOMB_OTRA_2020</t>
  </si>
  <si>
    <t>POB_DERECH_MUJ_2020</t>
  </si>
  <si>
    <t>POB_NO_DERECH_MUJ_2020</t>
  </si>
  <si>
    <t>POB_DERECH_MUJ_IMSS_2020</t>
  </si>
  <si>
    <t>POB_DERECH_MUJ_ISSSTE_2020</t>
  </si>
  <si>
    <t>POB_DERECH_MUJ_ISSSTE_EST_2020</t>
  </si>
  <si>
    <t>POB_DERECH_MUJ_PEMEX_2020</t>
  </si>
  <si>
    <t>POB_DERECH_MUJ_SEG_POP_2020</t>
  </si>
  <si>
    <t>POB_DERECH_MUJ_PRIV_2020</t>
  </si>
  <si>
    <t>POB_DERECH_MUJ_OTRA_2020</t>
  </si>
  <si>
    <t>POB_DERECH_MUJ_NO_ESP_2020</t>
  </si>
  <si>
    <t>Seguro popular o Nueva Generación</t>
  </si>
  <si>
    <t>POB_DERECH_MUJ_85_AÑOS_Y_MAS_2020</t>
  </si>
  <si>
    <t>POB_DERECH_MUJ_80-84 AÑOS_2020</t>
  </si>
  <si>
    <t>POB_DERECH_MUJ_75-79 AÑOS_2020</t>
  </si>
  <si>
    <t>POB_DERECH_MUJ_70-74 AÑOS_2020</t>
  </si>
  <si>
    <t>POB_DERECH_MUJ_65-69 AÑOS_2020</t>
  </si>
  <si>
    <t>POB_DERECH_MUJ_60-64 AÑOS_2020</t>
  </si>
  <si>
    <t>POB_DERECH_MUJ_55-59 AÑOS_2020</t>
  </si>
  <si>
    <t>POB_DERECH_MUJ_50-54 AÑOS_2020</t>
  </si>
  <si>
    <t>POB_DERECH_MUJ_45-49 AÑOS_2020</t>
  </si>
  <si>
    <t>POB_DERECH_MUJ_40-44 AÑOS_2020</t>
  </si>
  <si>
    <t>POB_DERECH_MUJ_35-39 AÑOS_2020</t>
  </si>
  <si>
    <t>POB_DERECH_MUJ_30-34 AÑOS_2020</t>
  </si>
  <si>
    <t>POB_DERECH_MUJ_25-29 AÑOS_2020</t>
  </si>
  <si>
    <t>POB_DERECH_MUJ_20-24 AÑOS_2020</t>
  </si>
  <si>
    <t>POB_DERECH_MUJ_15-19 AÑOS_2020</t>
  </si>
  <si>
    <t>POB_DERECH_MUJ_10-14 AÑOS_2020</t>
  </si>
  <si>
    <t>POB_DERECH_MUJ_05-09 AÑOS_2020</t>
  </si>
  <si>
    <t>POB_DERECH_MUJ_00-04 AÑOS_2020</t>
  </si>
  <si>
    <t>POB_DERECH_HOM_85_AÑOS_Y_MÁS_2020</t>
  </si>
  <si>
    <t>POB_DERECH_HOM_80-84 AÑOS_2020</t>
  </si>
  <si>
    <t>POB_DERECH_HOM_75-79 AÑOS_2020</t>
  </si>
  <si>
    <t>POB_DERECH_HOM_70-74 AÑOS_2020</t>
  </si>
  <si>
    <t>POB_DERECH_HOM_65-69 AÑOS_2020</t>
  </si>
  <si>
    <t>POB_DERECH_HOM_60-64 AÑOS_2020</t>
  </si>
  <si>
    <t>POB_DERECH_HOM_55-59 AÑOS_2020</t>
  </si>
  <si>
    <t>POB_DERECH_HOM_50-54 AÑOS_2020</t>
  </si>
  <si>
    <t>POB_DERECH_HOM_45-49 AÑOS_2020</t>
  </si>
  <si>
    <t>POB_DERECH_HOM_40-44 AÑOS_2020</t>
  </si>
  <si>
    <t>POB_DERECH_HOM_35-39 AÑOS_2020</t>
  </si>
  <si>
    <t>POB_DERECH_HOM_30-34 AÑOS_2020</t>
  </si>
  <si>
    <t>POB_DERECH_HOM_25-29 AÑOS_2020</t>
  </si>
  <si>
    <t>POB_DERECH_HOM_20-24 AÑOS_2020</t>
  </si>
  <si>
    <t>POB_DERECH_HOM_15-19 AÑOS_2020</t>
  </si>
  <si>
    <t>POB_DERECH_HOM_10-14 AÑOS_2020</t>
  </si>
  <si>
    <t>POB_DERECH_HOM_05-09 AÑOS_2020</t>
  </si>
  <si>
    <t>POB_DERECH_HOM_00-04 AÑOS_2020</t>
  </si>
  <si>
    <t>Viviendas</t>
  </si>
  <si>
    <t>Agua entubada dentro de la vivienda</t>
  </si>
  <si>
    <t>Agua entubada fuera de la vivienda pero dentro del terreno</t>
  </si>
  <si>
    <t>Agua entubada de llave pública o hidrante</t>
  </si>
  <si>
    <t>Agua de pipa</t>
  </si>
  <si>
    <t>Agua de pozo, río, lago, arroyo u otra fuente</t>
  </si>
  <si>
    <t>% de viviendas</t>
  </si>
  <si>
    <t>Ocupantes</t>
  </si>
  <si>
    <t>% de ocupantes</t>
  </si>
  <si>
    <t>Casa independiente</t>
  </si>
  <si>
    <t>Departamento en edificio</t>
  </si>
  <si>
    <t>Vivienda en vecindad</t>
  </si>
  <si>
    <t>Local no construido para habitación</t>
  </si>
  <si>
    <t>Vivienda móvil</t>
  </si>
  <si>
    <t>Refugio</t>
  </si>
  <si>
    <t>Red pública</t>
  </si>
  <si>
    <t>Fosa séptica</t>
  </si>
  <si>
    <t>Va a dar a una barranca o grieta</t>
  </si>
  <si>
    <t>Va a dar a un río, lago o mar</t>
  </si>
  <si>
    <t>Viviendas habitadas por disponibilidad de servicios. 2020</t>
  </si>
  <si>
    <t>Energía eléctrica</t>
  </si>
  <si>
    <t>Tierra</t>
  </si>
  <si>
    <t>Cemento o firme</t>
  </si>
  <si>
    <t>Madera, mosaico u otro</t>
  </si>
  <si>
    <t>Refrigerador</t>
  </si>
  <si>
    <t>Lavadora</t>
  </si>
  <si>
    <t>Automóvil</t>
  </si>
  <si>
    <t>Radio</t>
  </si>
  <si>
    <t>Televisor</t>
  </si>
  <si>
    <t>Computadora</t>
  </si>
  <si>
    <t>Línea telefónica</t>
  </si>
  <si>
    <t>Teléfono celular</t>
  </si>
  <si>
    <t>Internet</t>
  </si>
  <si>
    <t>No dispone</t>
  </si>
  <si>
    <t>Dispone</t>
  </si>
  <si>
    <t xml:space="preserve">Descarga directa de agua </t>
  </si>
  <si>
    <t>Le echan agua con cubeta</t>
  </si>
  <si>
    <t>No se le puede echar agua</t>
  </si>
  <si>
    <t>CASA_INDEPENDIENTE_2020</t>
  </si>
  <si>
    <t>DEPARTAMENTO_EN_EDIFICIO_2020</t>
  </si>
  <si>
    <t>VIVIENDA_EN_VECINDAD_2020</t>
  </si>
  <si>
    <t>VIVIENDA_EN_CUARTO_DE_AZOTEA_2020</t>
  </si>
  <si>
    <t>LOCAL_NO_CONSTRUIDO_PARA_HABITACIÓN_2020</t>
  </si>
  <si>
    <t>VIVIENDA_MOVIL_2020</t>
  </si>
  <si>
    <t>REFUGIO_2020</t>
  </si>
  <si>
    <t>VIVIENDA_TIPO_NO_ESPECIFICADO_2020</t>
  </si>
  <si>
    <t>Vivienda en cuarto de azotea</t>
  </si>
  <si>
    <t>VIV_OCUP_1_OCUPANTE_2020</t>
  </si>
  <si>
    <t>VIV_OCUP_2_OCUPANTE_2020</t>
  </si>
  <si>
    <t>VIV_OCUP_3_OCUPANTE_2020</t>
  </si>
  <si>
    <t>VIV_OCUP_4_OCUPANTE_2020</t>
  </si>
  <si>
    <t>VIV_OCUP_5_OCUPANTE_2020</t>
  </si>
  <si>
    <t>VIV_OCUP_6_OCUPANTE_2020</t>
  </si>
  <si>
    <t>VIV_OCUP_7_OCUPANTE_2020</t>
  </si>
  <si>
    <t>VIV_OCUP_8_OCUPANTE_2020</t>
  </si>
  <si>
    <t>VIV_OCUP_9_MÁS_OCUPANTES_2020</t>
  </si>
  <si>
    <t>1 ocupante</t>
  </si>
  <si>
    <t>2 ocupantes</t>
  </si>
  <si>
    <t>3 ocupantes</t>
  </si>
  <si>
    <t>4 ocupantes</t>
  </si>
  <si>
    <t>5 ocupantes</t>
  </si>
  <si>
    <t>6 ocupantes</t>
  </si>
  <si>
    <t>7 ocupantes</t>
  </si>
  <si>
    <t>8 ocupantes</t>
  </si>
  <si>
    <t>9 ocupantes y más</t>
  </si>
  <si>
    <t>2 cuartos</t>
  </si>
  <si>
    <t>3 cuartos</t>
  </si>
  <si>
    <t>4 cuartos</t>
  </si>
  <si>
    <t>5 cuartos</t>
  </si>
  <si>
    <t>6 cuartos</t>
  </si>
  <si>
    <t>7 cuartos</t>
  </si>
  <si>
    <t>8 cuartos</t>
  </si>
  <si>
    <t>9 cuartos y más</t>
  </si>
  <si>
    <t>1 cuarto</t>
  </si>
  <si>
    <t>VIV_OCUP_1_CUARTO_2020</t>
  </si>
  <si>
    <t>VIV_OCUP_3_CUARTOS_2020</t>
  </si>
  <si>
    <t>VIV_OCUP_2_CUARTOS_2020</t>
  </si>
  <si>
    <t>VIV_OCUP_4_CUARTOS_2020</t>
  </si>
  <si>
    <t>VIV_OCUP_5_CUARTOS_2020</t>
  </si>
  <si>
    <t>VIV_OCUP_6_CUARTOS_2020</t>
  </si>
  <si>
    <t>VIV_OCUP_7_CUARTOS_2020</t>
  </si>
  <si>
    <t>VIV_OCUP_8_CUARTOS_2020</t>
  </si>
  <si>
    <t>VIV_OCUP_9_MÁS_CUARTOS_2020</t>
  </si>
  <si>
    <t>1 dormitorio</t>
  </si>
  <si>
    <t>2 dormitorios</t>
  </si>
  <si>
    <t>3 dormitorios</t>
  </si>
  <si>
    <t>4 dormitorios</t>
  </si>
  <si>
    <t>5 dormitorios y más</t>
  </si>
  <si>
    <t>VIV_OCUP_1_DORMITORIO_2020</t>
  </si>
  <si>
    <t>VIV_OCUP_2_DORMITORIOS_2020</t>
  </si>
  <si>
    <t>VIV_OCUP_3_DORMITORIOS_2020</t>
  </si>
  <si>
    <t>VIV_OCUP_4_DORMITORIOS_2020</t>
  </si>
  <si>
    <t>VIV_OCUP_5_MAS_DORMITORIOS_2020</t>
  </si>
  <si>
    <t>CALIDAD Y BIENES DE LAS VIVIENDAS</t>
  </si>
  <si>
    <t>VIV_OCUP_AG_ENT_DENT_VIV_2020</t>
  </si>
  <si>
    <t>VIV_OCUP_AG_FUER_VIV_DENT_TERR_2020</t>
  </si>
  <si>
    <t>VIV_AG_LLA_PUB_2020</t>
  </si>
  <si>
    <t>VIV_AG_OT_VIV_2020</t>
  </si>
  <si>
    <t>VIV_AG_PIP_2020</t>
  </si>
  <si>
    <t>VIV_AG_POZ_OTR_2020</t>
  </si>
  <si>
    <t>Agua entubada que acarrean de otra vivienda</t>
  </si>
  <si>
    <t>VIV_OC_DREN_RED_PUB_2020</t>
  </si>
  <si>
    <t>VIV_OC_FOS_SEP_2020</t>
  </si>
  <si>
    <t>VIV_OC__BARR_GRI_2020</t>
  </si>
  <si>
    <t>VIV_OC__RÍO_2020</t>
  </si>
  <si>
    <t>VIV_OC_DISP_EXC_2020</t>
  </si>
  <si>
    <t>VIV_OC_NO_DISP_EXC_2020</t>
  </si>
  <si>
    <t>Agua entubada</t>
  </si>
  <si>
    <t>Drenaje de red pública</t>
  </si>
  <si>
    <t>VIV_OC_PISO_TIE_2020</t>
  </si>
  <si>
    <t>VIV_OC_PISO_CEM_2020</t>
  </si>
  <si>
    <t>VIV_OC_PISO_MAD_MOS_2020</t>
  </si>
  <si>
    <t>VIV_OC_PISO_NO_ESP_2020</t>
  </si>
  <si>
    <t>VIV_OC_DISP_REFR_2020</t>
  </si>
  <si>
    <t>VIV_OC_DISP_LAV_2020</t>
  </si>
  <si>
    <t>VIV_OC_DISP_AUTO_2020</t>
  </si>
  <si>
    <t>VIV_OC_DISP_RAD_2020</t>
  </si>
  <si>
    <t>VIV_OC_DISP_TELE_2020</t>
  </si>
  <si>
    <t>VIV_OC_DISP_COMP_2020</t>
  </si>
  <si>
    <t>VIV_OC_DISP_TEL_FIJ_2020</t>
  </si>
  <si>
    <t>VIV_OC_DISP_TEL_CEL_2020</t>
  </si>
  <si>
    <t>VIV_OC_DISP_INTER_2020</t>
  </si>
  <si>
    <t>VIV_OC_DISP_EXC_DESC_AG_2020</t>
  </si>
  <si>
    <t>VIV_OC_DISP_EXC_CUB_2020</t>
  </si>
  <si>
    <t>VIV_OC_DISP_EXC_NO_ESP_2020</t>
  </si>
  <si>
    <t>VIV_OC_DISP_EXC_NO_AG_2020</t>
  </si>
  <si>
    <t>VIV_OC_DISP_ENELEC_2020</t>
  </si>
  <si>
    <t>OCUP_CASA_INDEPENDIENTE_2020</t>
  </si>
  <si>
    <t>OCUP_VIV_VECIN_2020</t>
  </si>
  <si>
    <t>OCUP_DEPAEDIF_2020</t>
  </si>
  <si>
    <t>OCUP_VIV_AZOT_2020</t>
  </si>
  <si>
    <t>OCUP_LOC_NO_CONS_HAB_2020</t>
  </si>
  <si>
    <t>OCUP_VIV_MOV_2020</t>
  </si>
  <si>
    <t>OCUP_REF_2020</t>
  </si>
  <si>
    <t>OCUP_VIV_NO_ESP_2020</t>
  </si>
  <si>
    <t>OCUP_PISO_TIE_2020</t>
  </si>
  <si>
    <t>OCUP_PISO_CEM_2020</t>
  </si>
  <si>
    <t>OCUP_PISO_MAD_MOS_2020</t>
  </si>
  <si>
    <t>OCUP_PISO_NO_ESP_2020</t>
  </si>
  <si>
    <t>OCUP_VIV_DISP_EXC_DESC_AG_2020</t>
  </si>
  <si>
    <t>OCUP_VIV_DISP_EXC_CUB_2020</t>
  </si>
  <si>
    <t>OCUP_VIV_DISP_EXC_NO_AG_2020</t>
  </si>
  <si>
    <t>OCUP_VIV_DISP_EXC_NO_ESP_2020</t>
  </si>
  <si>
    <t>OCUP_VIV_DISP_EXC_2020</t>
  </si>
  <si>
    <t>OCUP_VIV_NO_DISP_EXC_2020</t>
  </si>
  <si>
    <t>Educación preescolar</t>
  </si>
  <si>
    <t>Educación primaria</t>
  </si>
  <si>
    <t>Educación secundaria incompleta</t>
  </si>
  <si>
    <t>Educación secundaria completa</t>
  </si>
  <si>
    <t>Estudios técnicos o comerciales con primaria terminada</t>
  </si>
  <si>
    <t>Educación media superior</t>
  </si>
  <si>
    <t>Educación superior</t>
  </si>
  <si>
    <t>Asiste a la escuela</t>
  </si>
  <si>
    <t>POB_HOM_3YMAS_ASIS_ESC_PREES_2020</t>
  </si>
  <si>
    <t>POB_HOM_3YMAS_ASIS_ESC_2020</t>
  </si>
  <si>
    <t>POB_MUJ_3YMAS_ASIS_ESC_2020</t>
  </si>
  <si>
    <t>POB_HOM_3YMAS_ASIS_ESC_PRIM_2020</t>
  </si>
  <si>
    <t>POB_HOM_3YMAS_ASIS_ESC_SEC_2020</t>
  </si>
  <si>
    <t>POB_HOM_3YMAS_ASIS_ESC_EST_TEC_2020</t>
  </si>
  <si>
    <t>POB_MUJ_3YMAS_ASIS_ESC_PREES_2020</t>
  </si>
  <si>
    <t>POB_MUJ_3YMAS_ASIS_ESC_PRIM_2020</t>
  </si>
  <si>
    <t>POB_MUJ_3YMAS_ASIS_ESC_SEC_2020</t>
  </si>
  <si>
    <t>POB_MUJ_3YMAS_ASIS_ESC_EST_TEC_2020</t>
  </si>
  <si>
    <t>Educación secundaria</t>
  </si>
  <si>
    <t>Educación primaria (6 grados)</t>
  </si>
  <si>
    <t>POB_HOM_6-14_LEER_Y_ESCR_2020</t>
  </si>
  <si>
    <t>POB_MUJ_6-14_LEER_Y_ESCR_2020</t>
  </si>
  <si>
    <t>POB_HOM_15_Y_MAS_ANALF_2020</t>
  </si>
  <si>
    <t>POB_MUJ_15_Y_MAS_ANALF_2020</t>
  </si>
  <si>
    <t>POB_TOT_15_Y_MAS_2020</t>
  </si>
  <si>
    <t>POB_HOM_15_Y_MAS_PREESC_2020</t>
  </si>
  <si>
    <t>POB_HOM_15_Y_MAS_PRIM_2020</t>
  </si>
  <si>
    <t>POB_HOM_15_Y_MAS_SEC_INCOM_2020</t>
  </si>
  <si>
    <t>POB_HOM_15_Y_MAS_SEC_COMP_2020</t>
  </si>
  <si>
    <t>POB_HOM_15_Y_MAS_TECN_2020</t>
  </si>
  <si>
    <t>POB_HOM_15_Y_MAS_MED_SUP_2020</t>
  </si>
  <si>
    <t>POB_HOM_15_Y_MAS_SUP_2020</t>
  </si>
  <si>
    <t>POB_MUJ_15_Y_MAS_PREESC_2020</t>
  </si>
  <si>
    <t>POB_MUJ_15_Y_MAS_PRIM_2020</t>
  </si>
  <si>
    <t>POB_MUJ_15_Y_MAS_SEC_INCOM_2020</t>
  </si>
  <si>
    <t>POB_MUJ_15_Y_MAS_SEC_COMP_2020</t>
  </si>
  <si>
    <t>POB_MUJ_15_Y_MAS_TECN_2020</t>
  </si>
  <si>
    <t>POB_MUJ_15_Y_MAS_MED_SUP_2020</t>
  </si>
  <si>
    <t>POB_MUJ_15_Y_MAS_SUP_2020</t>
  </si>
  <si>
    <t>GRA_PROM_ESC_HOM_2020</t>
  </si>
  <si>
    <t>GRA_PROM_ESC_MUJ_2020</t>
  </si>
  <si>
    <t>GRA_PROM_ESC_TOT_2020</t>
  </si>
  <si>
    <t>Población Total</t>
  </si>
  <si>
    <t>Discapacidad</t>
  </si>
  <si>
    <t>Educación</t>
  </si>
  <si>
    <t>Actividad Económica</t>
  </si>
  <si>
    <t>Tamaño de Localidades</t>
  </si>
  <si>
    <t>Población Hablante de Lengua Indígena</t>
  </si>
  <si>
    <t>Salud</t>
  </si>
  <si>
    <t>Servicios en Viviendas</t>
  </si>
  <si>
    <t>Calidad de las Viviendas</t>
  </si>
  <si>
    <t>Espacios en Viviendas</t>
  </si>
  <si>
    <t>INICIO</t>
  </si>
  <si>
    <t>Fuente: INEGI, Censo de Población y Vivienda 2010</t>
  </si>
  <si>
    <t>Fuente: INEGI, Censo de Población y Vivienda 2000 y 2010</t>
  </si>
  <si>
    <t>CHIAPAS. CARACTERÍSTICAS DEMOGRÁFICAS 2010</t>
  </si>
  <si>
    <t>Incremento 2000-2010</t>
  </si>
  <si>
    <t>Población de 3 años y más, que habla alguna lengua indígena. 2010</t>
  </si>
  <si>
    <t>Población de 3 años y más, que habla alguna lengua indígena, por sexo. 2010</t>
  </si>
  <si>
    <t>Hogares por sexo del jefe(a). 2010</t>
  </si>
  <si>
    <t>Población en hogares por sexo del jefe(a). 2010</t>
  </si>
  <si>
    <t>Hogares por número de integrantes. 2010</t>
  </si>
  <si>
    <t>Relación de parentesco con la jefa o jefe del hogar. 2010</t>
  </si>
  <si>
    <t>Fuente: INEGI, Censo de Población y Vivienda  2010</t>
  </si>
  <si>
    <t>Localidades por tamaño de población. 2010</t>
  </si>
  <si>
    <t>Personas con alguna limitación en la actividad. Por sexo. 2010</t>
  </si>
  <si>
    <t>Población por tipo de limitación en la actividad. Por Sexo. 2010</t>
  </si>
  <si>
    <t>Población de 6 a 14 años que saben leer y escribir. 2010</t>
  </si>
  <si>
    <t>Población de 3 años y más por condición de asistencia escolar, según nivel de escolaridad. 2010</t>
  </si>
  <si>
    <t>Población de 15 años y más analfabetas. 2010</t>
  </si>
  <si>
    <t>Población de 15 años y más por nivel de escolaridad. 2010</t>
  </si>
  <si>
    <t>Grado promedio de escolaridad. 2010</t>
  </si>
  <si>
    <t>Porcentaje de población económicamente activa ocupada (PEAO) por sector de actividad económica. 2010</t>
  </si>
  <si>
    <t>Población por condición de derechoabiencia a servicios de salud. 2010</t>
  </si>
  <si>
    <t>Población dechoabiente por grupo quinquenal. 2010</t>
  </si>
  <si>
    <t>Población derechoabiente por tipo de institución. 2010</t>
  </si>
  <si>
    <t>CHIAPAS. CARACTERÍSTICAS DE LAS VIVIENDAS 2010</t>
  </si>
  <si>
    <t>Viviendas con disponibilidad de agua por tipo de abastecimiento. 2010</t>
  </si>
  <si>
    <t>Viviendas habitadas y ocupantes de viviendas por tipo de vivienda. 2010</t>
  </si>
  <si>
    <t>Viviendas con dsiponibilidad de drenaje por destino del drenaje. 2010</t>
  </si>
  <si>
    <t>Viviendas habitadas por material del piso. 2010</t>
  </si>
  <si>
    <t>Viviendas habitadas por disponibilidad de excusado. 2010</t>
  </si>
  <si>
    <t>Viviendas habitadas por disponibilidad de bienes y tecnologias de la información. 2010</t>
  </si>
  <si>
    <t>Viviendas habitadas que disponen de excusado por forma de admisión de agua. 2010</t>
  </si>
  <si>
    <t>Viviendas habitadas por número de ocupantes. 2010</t>
  </si>
  <si>
    <t>Viviendas habitadas por número de dormitorios. 2010</t>
  </si>
  <si>
    <t>PRESENTACIÓN</t>
  </si>
  <si>
    <t>En este documento se muestran y grafican algunos de los indicadores sociodemográficos seleccionados para cada municipio del estado de Chiapas que fueron publicados por el INEGI como resultado del Censo de Población y Vivienda 2010.</t>
  </si>
  <si>
    <t xml:space="preserve"> Por tipo de localidad 2010</t>
  </si>
  <si>
    <t>VIV_PART_HAB_2010</t>
  </si>
  <si>
    <t>OCUP_VIV_PART_HAB_2010</t>
  </si>
  <si>
    <t>Limitación para atender el cuidado personal</t>
  </si>
  <si>
    <t>Población de 12 y más años por condición de actividad económica y ocupación. 2010</t>
  </si>
  <si>
    <r>
      <t xml:space="preserve">Para facilitar la </t>
    </r>
    <r>
      <rPr>
        <b/>
        <sz val="11"/>
        <color rgb="FF595959"/>
        <rFont val="Gotham Book"/>
        <family val="3"/>
      </rPr>
      <t>"</t>
    </r>
    <r>
      <rPr>
        <b/>
        <i/>
        <sz val="11"/>
        <color rgb="FF595959"/>
        <rFont val="Gotham Book"/>
        <family val="3"/>
      </rPr>
      <t>navegación"</t>
    </r>
    <r>
      <rPr>
        <sz val="11"/>
        <color rgb="FF595959"/>
        <rFont val="Gotham Book"/>
        <family val="3"/>
      </rPr>
      <t xml:space="preserve"> al interior de las hojas que lo integran, se han enlistado los títulos desplegados a continuación con su correspondiente vínculo; así mismo en cada una de las hojas temáticas se ubica en la parte superior derecha la celda con el título </t>
    </r>
    <r>
      <rPr>
        <b/>
        <i/>
        <sz val="11"/>
        <color rgb="FF595959"/>
        <rFont val="Gotham Book"/>
        <family val="3"/>
      </rPr>
      <t>"inicio"</t>
    </r>
    <r>
      <rPr>
        <sz val="11"/>
        <color rgb="FF595959"/>
        <rFont val="Gotham Book"/>
        <family val="3"/>
      </rPr>
      <t xml:space="preserve"> para poder regresar a la hoja </t>
    </r>
    <r>
      <rPr>
        <b/>
        <i/>
        <sz val="11"/>
        <color rgb="FF595959"/>
        <rFont val="Gotham Book"/>
        <family val="3"/>
      </rPr>
      <t>"presentación"</t>
    </r>
    <r>
      <rPr>
        <sz val="11"/>
        <color rgb="FF595959"/>
        <rFont val="Gotham Book"/>
        <family val="3"/>
      </rPr>
      <t>.</t>
    </r>
  </si>
  <si>
    <r>
      <t xml:space="preserve">En la hoja </t>
    </r>
    <r>
      <rPr>
        <b/>
        <i/>
        <sz val="11"/>
        <color rgb="FF595959"/>
        <rFont val="Gotham Book"/>
        <family val="3"/>
      </rPr>
      <t>"Población total"</t>
    </r>
    <r>
      <rPr>
        <sz val="11"/>
        <color rgb="FF595959"/>
        <rFont val="Gotham Book"/>
        <family val="3"/>
      </rPr>
      <t xml:space="preserve"> deberá ubicar la celda con el nombre del municipio y así poder seleccionar el municipio deseado, al llevar acabo esta acción se actualizarán los datos de esa y todas las demás hojas.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</si>
</sst>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9"/>
      <color theme="1"/>
      <name val="Gotham Medium"/>
      <family val="3"/>
    </font>
    <font>
      <b/>
      <sz val="9"/>
      <color theme="0"/>
      <name val="Gotham Medium"/>
      <family val="3"/>
    </font>
    <font>
      <b/>
      <sz val="12"/>
      <name val="Gotham Medium"/>
      <family val="3"/>
    </font>
    <font>
      <sz val="9"/>
      <color theme="1"/>
      <name val="Gotham Book"/>
      <family val="3"/>
    </font>
    <font>
      <b/>
      <sz val="9"/>
      <color theme="0"/>
      <name val="Gotham Book"/>
      <family val="3"/>
    </font>
    <font>
      <sz val="9"/>
      <color theme="0"/>
      <name val="Gotham Medium"/>
      <family val="3"/>
    </font>
    <font>
      <b/>
      <sz val="9"/>
      <color theme="1"/>
      <name val="Gotham Book"/>
      <family val="3"/>
    </font>
    <font>
      <b/>
      <sz val="14"/>
      <name val="Gotham Book"/>
      <family val="3"/>
    </font>
    <font>
      <sz val="9"/>
      <color theme="0"/>
      <name val="Gotham Book"/>
      <family val="3"/>
    </font>
    <font>
      <b/>
      <sz val="10"/>
      <color theme="0"/>
      <name val="Gotham Book"/>
      <family val="3"/>
    </font>
    <font>
      <b/>
      <sz val="12"/>
      <color theme="0"/>
      <name val="Gotham Book"/>
      <family val="3"/>
    </font>
    <font>
      <sz val="10"/>
      <color theme="1"/>
      <name val="Gotham Book"/>
      <family val="3"/>
    </font>
    <font>
      <b/>
      <sz val="14"/>
      <color rgb="FF595959"/>
      <name val="Gotham Bold"/>
      <family val="3"/>
    </font>
    <font>
      <b/>
      <sz val="12"/>
      <color rgb="FF595959"/>
      <name val="Gotham Bold"/>
      <family val="3"/>
    </font>
    <font>
      <sz val="8"/>
      <color rgb="FF595959"/>
      <name val="Gotham Book"/>
      <family val="3"/>
    </font>
    <font>
      <sz val="10"/>
      <color rgb="FF595959"/>
      <name val="Gotham Book"/>
      <family val="3"/>
    </font>
    <font>
      <sz val="14"/>
      <color rgb="FF595959"/>
      <name val="Gotham Bold"/>
      <family val="3"/>
    </font>
    <font>
      <sz val="9"/>
      <color rgb="FF595959"/>
      <name val="Gotham Bold"/>
      <family val="3"/>
    </font>
    <font>
      <sz val="12"/>
      <color rgb="FF595959"/>
      <name val="Gotham Bold"/>
      <family val="3"/>
    </font>
    <font>
      <sz val="9"/>
      <color rgb="FF595959"/>
      <name val="Gotham Book"/>
      <family val="3"/>
    </font>
    <font>
      <b/>
      <sz val="12"/>
      <color rgb="FF595959"/>
      <name val="Gotham Book"/>
      <family val="3"/>
    </font>
    <font>
      <b/>
      <sz val="11"/>
      <color theme="0"/>
      <name val="Gotham Book"/>
      <family val="3"/>
    </font>
    <font>
      <sz val="10"/>
      <color rgb="FF555555"/>
      <name val="Gotham Book"/>
      <family val="3"/>
    </font>
    <font>
      <sz val="9"/>
      <color rgb="FF595959"/>
      <name val="Gotham Medium"/>
      <family val="3"/>
    </font>
    <font>
      <b/>
      <sz val="12"/>
      <color rgb="FF595959"/>
      <name val="Gotham Medium"/>
      <family val="3"/>
    </font>
    <font>
      <sz val="10"/>
      <color rgb="FF595959"/>
      <name val="Gotham Medium"/>
      <family val="3"/>
    </font>
    <font>
      <b/>
      <sz val="10"/>
      <color rgb="FF595959"/>
      <name val="Gotham Book"/>
      <family val="3"/>
    </font>
    <font>
      <sz val="9"/>
      <name val="Gotham Book"/>
      <family val="3"/>
    </font>
    <font>
      <b/>
      <sz val="9"/>
      <name val="Gotham Book"/>
      <family val="3"/>
    </font>
    <font>
      <b/>
      <sz val="9"/>
      <color rgb="FF595959"/>
      <name val="Gotham Book"/>
      <family val="3"/>
    </font>
    <font>
      <b/>
      <vertAlign val="superscript"/>
      <sz val="9"/>
      <color theme="0"/>
      <name val="Gotham Book"/>
      <family val="3"/>
    </font>
    <font>
      <sz val="11"/>
      <color rgb="FF595959"/>
      <name val="Gotham Book"/>
      <family val="3"/>
    </font>
    <font>
      <b/>
      <sz val="8"/>
      <color rgb="FF595959"/>
      <name val="Gotham Book"/>
      <family val="3"/>
    </font>
    <font>
      <b/>
      <sz val="12"/>
      <name val="Gotham Book"/>
      <family val="3"/>
    </font>
    <font>
      <b/>
      <sz val="11"/>
      <color rgb="FF595959"/>
      <name val="Gotham Bold"/>
      <family val="3"/>
    </font>
    <font>
      <sz val="10"/>
      <color theme="0"/>
      <name val="Gotham Book"/>
      <family val="3"/>
    </font>
    <font>
      <u/>
      <sz val="11"/>
      <color rgb="FF595959"/>
      <name val="Gotham Bold"/>
      <family val="3"/>
    </font>
    <font>
      <u/>
      <sz val="14"/>
      <color rgb="FF595959"/>
      <name val="Gotham Bold"/>
      <family val="3"/>
    </font>
    <font>
      <sz val="14"/>
      <color rgb="FF595959"/>
      <name val="Gotham Book"/>
      <family val="3"/>
    </font>
    <font>
      <b/>
      <i/>
      <sz val="11"/>
      <color rgb="FF595959"/>
      <name val="Gotham Book"/>
      <family val="3"/>
    </font>
    <font>
      <b/>
      <sz val="11"/>
      <color rgb="FF595959"/>
      <name val="Gotham Book"/>
      <family val="3"/>
    </font>
  </fonts>
  <fills count="4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9A5B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indexed="9"/>
      </bottom>
      <diagonal/>
    </border>
    <border>
      <left style="medium">
        <color indexed="64"/>
      </left>
      <right style="thin">
        <color rgb="FFE0E0E0"/>
      </right>
      <top style="thin">
        <color rgb="FFE0E0E0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thin">
        <color rgb="FFE0E0E0"/>
      </bottom>
      <diagonal/>
    </border>
    <border>
      <left/>
      <right/>
      <top style="medium">
        <color indexed="64"/>
      </top>
      <bottom style="thin">
        <color rgb="FFE0E0E0"/>
      </bottom>
      <diagonal/>
    </border>
    <border>
      <left/>
      <right style="medium">
        <color indexed="64"/>
      </right>
      <top style="medium">
        <color indexed="64"/>
      </top>
      <bottom style="thin">
        <color rgb="FFE0E0E0"/>
      </bottom>
      <diagonal/>
    </border>
    <border>
      <left style="thin">
        <color rgb="FFE0E0E0"/>
      </left>
      <right style="medium">
        <color indexed="64"/>
      </right>
      <top style="thin">
        <color rgb="FFE0E0E0"/>
      </top>
      <bottom style="thin">
        <color indexed="9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/>
      <right/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/>
      <top/>
      <bottom/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 style="thin">
        <color rgb="FFE0E0E0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4" borderId="3" applyNumberFormat="0" applyAlignment="0" applyProtection="0"/>
    <xf numFmtId="0" fontId="6" fillId="5" borderId="4" applyNumberFormat="0" applyAlignment="0" applyProtection="0"/>
    <xf numFmtId="0" fontId="7" fillId="5" borderId="3" applyNumberFormat="0" applyAlignment="0" applyProtection="0"/>
    <xf numFmtId="0" fontId="8" fillId="0" borderId="5" applyNumberFormat="0" applyFill="0" applyAlignment="0" applyProtection="0"/>
    <xf numFmtId="0" fontId="9" fillId="6" borderId="6" applyNumberFormat="0" applyAlignment="0" applyProtection="0"/>
    <xf numFmtId="0" fontId="10" fillId="0" borderId="0" applyNumberFormat="0" applyFill="0" applyBorder="0" applyAlignment="0" applyProtection="0"/>
    <xf numFmtId="0" fontId="1" fillId="7" borderId="7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40">
    <xf numFmtId="0" fontId="0" fillId="0" borderId="0" xfId="0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0" fillId="0" borderId="0" xfId="0" applyAlignment="1">
      <alignment wrapText="1"/>
    </xf>
    <xf numFmtId="0" fontId="22" fillId="34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left" vertical="center"/>
    </xf>
    <xf numFmtId="0" fontId="0" fillId="0" borderId="0" xfId="0"/>
    <xf numFmtId="0" fontId="25" fillId="34" borderId="0" xfId="0" applyFont="1" applyFill="1" applyAlignment="1">
      <alignment horizontal="right" vertical="center"/>
    </xf>
    <xf numFmtId="0" fontId="27" fillId="34" borderId="0" xfId="0" applyFont="1" applyFill="1" applyAlignment="1">
      <alignment horizontal="left" vertical="center"/>
    </xf>
    <xf numFmtId="0" fontId="27" fillId="34" borderId="0" xfId="0" applyFont="1" applyFill="1" applyAlignment="1">
      <alignment horizontal="center" vertical="center"/>
    </xf>
    <xf numFmtId="3" fontId="27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3" fontId="27" fillId="34" borderId="0" xfId="0" applyNumberFormat="1" applyFont="1" applyFill="1" applyBorder="1" applyAlignment="1">
      <alignment horizontal="left" vertical="center"/>
    </xf>
    <xf numFmtId="16" fontId="27" fillId="34" borderId="0" xfId="0" applyNumberFormat="1" applyFont="1" applyFill="1" applyBorder="1" applyAlignment="1">
      <alignment horizontal="center" vertical="center"/>
    </xf>
    <xf numFmtId="17" fontId="27" fillId="34" borderId="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wrapText="1"/>
    </xf>
    <xf numFmtId="0" fontId="26" fillId="35" borderId="0" xfId="0" applyFont="1" applyFill="1" applyAlignment="1">
      <alignment vertical="center"/>
    </xf>
    <xf numFmtId="0" fontId="21" fillId="35" borderId="0" xfId="0" applyFont="1" applyFill="1" applyAlignment="1">
      <alignment vertical="center"/>
    </xf>
    <xf numFmtId="0" fontId="19" fillId="34" borderId="0" xfId="0" applyFont="1" applyFill="1" applyAlignment="1">
      <alignment horizontal="center" vertical="center"/>
    </xf>
    <xf numFmtId="3" fontId="30" fillId="34" borderId="0" xfId="0" applyNumberFormat="1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left" vertical="center"/>
    </xf>
    <xf numFmtId="10" fontId="30" fillId="34" borderId="13" xfId="0" applyNumberFormat="1" applyFont="1" applyFill="1" applyBorder="1" applyAlignment="1">
      <alignment horizontal="center" vertical="center"/>
    </xf>
    <xf numFmtId="0" fontId="30" fillId="32" borderId="14" xfId="0" applyFont="1" applyFill="1" applyBorder="1" applyAlignment="1">
      <alignment horizontal="left" vertical="center"/>
    </xf>
    <xf numFmtId="3" fontId="30" fillId="32" borderId="15" xfId="0" applyNumberFormat="1" applyFont="1" applyFill="1" applyBorder="1" applyAlignment="1">
      <alignment horizontal="center" vertical="center"/>
    </xf>
    <xf numFmtId="10" fontId="30" fillId="32" borderId="16" xfId="0" applyNumberFormat="1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left" vertical="center"/>
    </xf>
    <xf numFmtId="10" fontId="30" fillId="34" borderId="31" xfId="0" applyNumberFormat="1" applyFont="1" applyFill="1" applyBorder="1" applyAlignment="1">
      <alignment horizontal="center" vertical="center"/>
    </xf>
    <xf numFmtId="2" fontId="30" fillId="32" borderId="34" xfId="0" applyNumberFormat="1" applyFont="1" applyFill="1" applyBorder="1" applyAlignment="1">
      <alignment horizontal="center" vertical="center"/>
    </xf>
    <xf numFmtId="3" fontId="30" fillId="34" borderId="33" xfId="0" applyNumberFormat="1" applyFont="1" applyFill="1" applyBorder="1" applyAlignment="1">
      <alignment horizontal="center" vertical="center"/>
    </xf>
    <xf numFmtId="10" fontId="30" fillId="34" borderId="34" xfId="0" applyNumberFormat="1" applyFont="1" applyFill="1" applyBorder="1" applyAlignment="1">
      <alignment horizontal="center" vertical="center"/>
    </xf>
    <xf numFmtId="0" fontId="31" fillId="34" borderId="0" xfId="0" applyFont="1" applyFill="1" applyAlignment="1">
      <alignment vertical="center"/>
    </xf>
    <xf numFmtId="0" fontId="32" fillId="34" borderId="0" xfId="0" applyFont="1" applyFill="1"/>
    <xf numFmtId="0" fontId="33" fillId="34" borderId="0" xfId="0" applyFont="1" applyFill="1" applyAlignment="1">
      <alignment horizontal="left" vertical="center"/>
    </xf>
    <xf numFmtId="0" fontId="32" fillId="34" borderId="0" xfId="0" applyFont="1" applyFill="1" applyAlignment="1">
      <alignment horizontal="left" vertical="center"/>
    </xf>
    <xf numFmtId="0" fontId="34" fillId="34" borderId="0" xfId="0" applyFont="1" applyFill="1" applyAlignment="1">
      <alignment horizontal="left" vertical="center"/>
    </xf>
    <xf numFmtId="0" fontId="37" fillId="34" borderId="0" xfId="0" applyFont="1" applyFill="1" applyAlignment="1">
      <alignment horizontal="right" vertical="center"/>
    </xf>
    <xf numFmtId="0" fontId="19" fillId="34" borderId="0" xfId="0" applyFont="1" applyFill="1"/>
    <xf numFmtId="0" fontId="19" fillId="34" borderId="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42" xfId="0" applyFont="1" applyFill="1" applyBorder="1" applyAlignment="1">
      <alignment horizontal="center" vertical="center" wrapText="1"/>
    </xf>
    <xf numFmtId="0" fontId="36" fillId="34" borderId="0" xfId="0" applyFont="1" applyFill="1"/>
    <xf numFmtId="0" fontId="34" fillId="34" borderId="12" xfId="0" applyFont="1" applyFill="1" applyBorder="1" applyAlignment="1">
      <alignment horizontal="center" vertical="center"/>
    </xf>
    <xf numFmtId="3" fontId="34" fillId="34" borderId="0" xfId="0" applyNumberFormat="1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2" borderId="12" xfId="0" applyFont="1" applyFill="1" applyBorder="1" applyAlignment="1">
      <alignment horizontal="left" vertical="center" wrapText="1"/>
    </xf>
    <xf numFmtId="3" fontId="34" fillId="32" borderId="0" xfId="0" applyNumberFormat="1" applyFont="1" applyFill="1" applyBorder="1" applyAlignment="1">
      <alignment horizontal="center" vertical="center"/>
    </xf>
    <xf numFmtId="10" fontId="34" fillId="32" borderId="13" xfId="0" applyNumberFormat="1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left" vertical="center" wrapText="1"/>
    </xf>
    <xf numFmtId="3" fontId="34" fillId="34" borderId="15" xfId="0" applyNumberFormat="1" applyFont="1" applyFill="1" applyBorder="1" applyAlignment="1">
      <alignment horizontal="center" vertical="center"/>
    </xf>
    <xf numFmtId="10" fontId="34" fillId="34" borderId="16" xfId="0" applyNumberFormat="1" applyFont="1" applyFill="1" applyBorder="1" applyAlignment="1">
      <alignment horizontal="center" vertical="center"/>
    </xf>
    <xf numFmtId="0" fontId="34" fillId="32" borderId="12" xfId="0" applyFont="1" applyFill="1" applyBorder="1" applyAlignment="1">
      <alignment horizontal="left" vertical="center"/>
    </xf>
    <xf numFmtId="0" fontId="34" fillId="34" borderId="14" xfId="0" applyFont="1" applyFill="1" applyBorder="1" applyAlignment="1">
      <alignment horizontal="left" vertical="center"/>
    </xf>
    <xf numFmtId="0" fontId="34" fillId="34" borderId="43" xfId="0" applyFont="1" applyFill="1" applyBorder="1" applyAlignment="1">
      <alignment horizontal="left" vertical="center" wrapText="1"/>
    </xf>
    <xf numFmtId="3" fontId="34" fillId="34" borderId="13" xfId="0" applyNumberFormat="1" applyFont="1" applyFill="1" applyBorder="1" applyAlignment="1">
      <alignment horizontal="center" vertical="center"/>
    </xf>
    <xf numFmtId="3" fontId="34" fillId="32" borderId="13" xfId="0" applyNumberFormat="1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left" vertical="center" wrapText="1"/>
    </xf>
    <xf numFmtId="0" fontId="34" fillId="32" borderId="14" xfId="0" applyFont="1" applyFill="1" applyBorder="1" applyAlignment="1">
      <alignment horizontal="left" vertical="center" wrapText="1"/>
    </xf>
    <xf numFmtId="3" fontId="34" fillId="32" borderId="16" xfId="0" applyNumberFormat="1" applyFont="1" applyFill="1" applyBorder="1" applyAlignment="1">
      <alignment horizontal="center" vertical="center"/>
    </xf>
    <xf numFmtId="3" fontId="34" fillId="34" borderId="16" xfId="0" applyNumberFormat="1" applyFont="1" applyFill="1" applyBorder="1" applyAlignment="1">
      <alignment horizontal="center" vertical="center"/>
    </xf>
    <xf numFmtId="0" fontId="22" fillId="35" borderId="0" xfId="0" applyFont="1" applyFill="1" applyAlignment="1">
      <alignment horizontal="left" vertical="center"/>
    </xf>
    <xf numFmtId="0" fontId="19" fillId="35" borderId="0" xfId="0" applyFont="1" applyFill="1"/>
    <xf numFmtId="0" fontId="35" fillId="35" borderId="0" xfId="0" applyFont="1" applyFill="1" applyAlignment="1">
      <alignment horizontal="left" vertical="center"/>
    </xf>
    <xf numFmtId="0" fontId="31" fillId="35" borderId="0" xfId="0" applyFont="1" applyFill="1" applyAlignment="1">
      <alignment horizontal="left" vertical="center"/>
    </xf>
    <xf numFmtId="0" fontId="34" fillId="34" borderId="12" xfId="0" applyFont="1" applyFill="1" applyBorder="1" applyAlignment="1">
      <alignment horizontal="left" vertical="center" wrapText="1"/>
    </xf>
    <xf numFmtId="0" fontId="0" fillId="38" borderId="0" xfId="0" applyFill="1" applyAlignment="1">
      <alignment wrapText="1"/>
    </xf>
    <xf numFmtId="0" fontId="24" fillId="34" borderId="0" xfId="0" applyFont="1" applyFill="1" applyAlignment="1">
      <alignment horizontal="center" vertical="center"/>
    </xf>
    <xf numFmtId="0" fontId="24" fillId="34" borderId="0" xfId="0" applyFont="1" applyFill="1"/>
    <xf numFmtId="0" fontId="24" fillId="34" borderId="0" xfId="0" applyFont="1" applyFill="1" applyBorder="1" applyAlignment="1">
      <alignment horizontal="center" vertical="center"/>
    </xf>
    <xf numFmtId="3" fontId="24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right" vertical="center" wrapText="1"/>
    </xf>
    <xf numFmtId="10" fontId="24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wrapText="1"/>
    </xf>
    <xf numFmtId="0" fontId="21" fillId="34" borderId="0" xfId="0" applyFont="1" applyFill="1" applyAlignment="1">
      <alignment vertical="center"/>
    </xf>
    <xf numFmtId="0" fontId="19" fillId="34" borderId="0" xfId="0" applyFont="1" applyFill="1" applyAlignment="1">
      <alignment horizontal="right" vertical="center"/>
    </xf>
    <xf numFmtId="0" fontId="38" fillId="34" borderId="0" xfId="0" applyFont="1" applyFill="1"/>
    <xf numFmtId="0" fontId="39" fillId="35" borderId="0" xfId="0" applyFont="1" applyFill="1" applyAlignment="1">
      <alignment vertical="center"/>
    </xf>
    <xf numFmtId="0" fontId="31" fillId="35" borderId="0" xfId="0" applyFont="1" applyFill="1" applyAlignment="1">
      <alignment vertical="center"/>
    </xf>
    <xf numFmtId="0" fontId="41" fillId="33" borderId="12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34" borderId="14" xfId="0" applyFont="1" applyFill="1" applyBorder="1" applyAlignment="1">
      <alignment horizontal="left" vertical="center" wrapText="1"/>
    </xf>
    <xf numFmtId="0" fontId="0" fillId="39" borderId="0" xfId="0" applyFill="1" applyAlignment="1">
      <alignment wrapText="1"/>
    </xf>
    <xf numFmtId="3" fontId="30" fillId="32" borderId="13" xfId="0" applyNumberFormat="1" applyFont="1" applyFill="1" applyBorder="1" applyAlignment="1">
      <alignment horizontal="center" vertical="center"/>
    </xf>
    <xf numFmtId="3" fontId="30" fillId="34" borderId="13" xfId="0" applyNumberFormat="1" applyFont="1" applyFill="1" applyBorder="1" applyAlignment="1">
      <alignment horizontal="center" vertical="center"/>
    </xf>
    <xf numFmtId="3" fontId="30" fillId="34" borderId="16" xfId="0" applyNumberFormat="1" applyFont="1" applyFill="1" applyBorder="1" applyAlignment="1">
      <alignment horizontal="center" vertical="center"/>
    </xf>
    <xf numFmtId="0" fontId="42" fillId="34" borderId="0" xfId="0" applyFont="1" applyFill="1"/>
    <xf numFmtId="0" fontId="43" fillId="35" borderId="0" xfId="0" applyFont="1" applyFill="1" applyAlignment="1">
      <alignment vertical="center"/>
    </xf>
    <xf numFmtId="0" fontId="44" fillId="34" borderId="0" xfId="0" applyFont="1" applyFill="1"/>
    <xf numFmtId="0" fontId="22" fillId="0" borderId="0" xfId="0" applyFont="1"/>
    <xf numFmtId="0" fontId="22" fillId="34" borderId="0" xfId="0" applyFont="1" applyFill="1"/>
    <xf numFmtId="0" fontId="33" fillId="34" borderId="0" xfId="0" applyFont="1" applyFill="1" applyAlignment="1">
      <alignment horizontal="left" vertical="center" wrapText="1"/>
    </xf>
    <xf numFmtId="10" fontId="34" fillId="34" borderId="13" xfId="0" applyNumberFormat="1" applyFont="1" applyFill="1" applyBorder="1" applyAlignment="1">
      <alignment horizontal="center" vertical="center"/>
    </xf>
    <xf numFmtId="3" fontId="34" fillId="32" borderId="15" xfId="0" applyNumberFormat="1" applyFont="1" applyFill="1" applyBorder="1" applyAlignment="1">
      <alignment horizontal="center" vertical="center"/>
    </xf>
    <xf numFmtId="10" fontId="34" fillId="32" borderId="16" xfId="0" applyNumberFormat="1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45" fillId="32" borderId="12" xfId="0" applyFont="1" applyFill="1" applyBorder="1" applyAlignment="1">
      <alignment horizontal="left" vertical="center" wrapText="1"/>
    </xf>
    <xf numFmtId="3" fontId="45" fillId="32" borderId="0" xfId="0" applyNumberFormat="1" applyFont="1" applyFill="1" applyBorder="1" applyAlignment="1">
      <alignment horizontal="center" vertical="center"/>
    </xf>
    <xf numFmtId="10" fontId="45" fillId="32" borderId="13" xfId="0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left" vertical="center" wrapText="1"/>
    </xf>
    <xf numFmtId="3" fontId="45" fillId="34" borderId="0" xfId="0" applyNumberFormat="1" applyFont="1" applyFill="1" applyBorder="1" applyAlignment="1">
      <alignment horizontal="center" vertical="center"/>
    </xf>
    <xf numFmtId="10" fontId="45" fillId="34" borderId="13" xfId="0" applyNumberFormat="1" applyFont="1" applyFill="1" applyBorder="1" applyAlignment="1">
      <alignment horizontal="center" vertical="center"/>
    </xf>
    <xf numFmtId="0" fontId="34" fillId="32" borderId="12" xfId="0" applyFont="1" applyFill="1" applyBorder="1" applyAlignment="1">
      <alignment horizontal="right" vertical="center"/>
    </xf>
    <xf numFmtId="0" fontId="34" fillId="34" borderId="12" xfId="0" applyFont="1" applyFill="1" applyBorder="1" applyAlignment="1">
      <alignment horizontal="right" vertical="center"/>
    </xf>
    <xf numFmtId="0" fontId="34" fillId="32" borderId="14" xfId="0" applyFont="1" applyFill="1" applyBorder="1" applyAlignment="1">
      <alignment horizontal="right" vertical="center"/>
    </xf>
    <xf numFmtId="0" fontId="34" fillId="34" borderId="14" xfId="0" applyFont="1" applyFill="1" applyBorder="1" applyAlignment="1">
      <alignment horizontal="left" vertical="center" wrapText="1"/>
    </xf>
    <xf numFmtId="0" fontId="34" fillId="34" borderId="12" xfId="0" applyFont="1" applyFill="1" applyBorder="1" applyAlignment="1">
      <alignment horizontal="left" vertical="center" wrapText="1"/>
    </xf>
    <xf numFmtId="0" fontId="34" fillId="32" borderId="12" xfId="0" applyFont="1" applyFill="1" applyBorder="1" applyAlignment="1">
      <alignment horizontal="left" vertical="center" wrapText="1"/>
    </xf>
    <xf numFmtId="0" fontId="0" fillId="40" borderId="0" xfId="0" applyFill="1" applyAlignment="1">
      <alignment wrapText="1"/>
    </xf>
    <xf numFmtId="0" fontId="38" fillId="32" borderId="12" xfId="0" applyFont="1" applyFill="1" applyBorder="1" applyAlignment="1">
      <alignment vertical="center" wrapText="1"/>
    </xf>
    <xf numFmtId="0" fontId="38" fillId="32" borderId="12" xfId="0" applyFont="1" applyFill="1" applyBorder="1" applyAlignment="1">
      <alignment horizontal="center" vertical="center" wrapText="1"/>
    </xf>
    <xf numFmtId="2" fontId="27" fillId="36" borderId="22" xfId="0" applyNumberFormat="1" applyFont="1" applyFill="1" applyBorder="1" applyAlignment="1">
      <alignment horizontal="center" vertical="center" wrapText="1"/>
    </xf>
    <xf numFmtId="2" fontId="27" fillId="36" borderId="21" xfId="0" applyNumberFormat="1" applyFont="1" applyFill="1" applyBorder="1" applyAlignment="1">
      <alignment horizontal="center" vertical="center" wrapText="1"/>
    </xf>
    <xf numFmtId="2" fontId="27" fillId="36" borderId="26" xfId="0" applyNumberFormat="1" applyFont="1" applyFill="1" applyBorder="1" applyAlignment="1">
      <alignment horizontal="center" vertical="center" wrapText="1"/>
    </xf>
    <xf numFmtId="0" fontId="38" fillId="34" borderId="0" xfId="0" applyFont="1" applyFill="1" applyAlignment="1"/>
    <xf numFmtId="0" fontId="46" fillId="34" borderId="0" xfId="0" applyFont="1" applyFill="1" applyAlignment="1"/>
    <xf numFmtId="0" fontId="46" fillId="34" borderId="0" xfId="0" applyFont="1" applyFill="1"/>
    <xf numFmtId="2" fontId="48" fillId="34" borderId="0" xfId="0" applyNumberFormat="1" applyFont="1" applyFill="1" applyBorder="1" applyAlignment="1">
      <alignment vertical="center" wrapText="1"/>
    </xf>
    <xf numFmtId="0" fontId="38" fillId="34" borderId="12" xfId="0" applyFont="1" applyFill="1" applyBorder="1" applyAlignment="1">
      <alignment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2" fontId="48" fillId="34" borderId="0" xfId="0" applyNumberFormat="1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41" borderId="0" xfId="0" applyFill="1" applyAlignment="1">
      <alignment wrapText="1"/>
    </xf>
    <xf numFmtId="3" fontId="38" fillId="32" borderId="0" xfId="0" applyNumberFormat="1" applyFont="1" applyFill="1" applyBorder="1" applyAlignment="1">
      <alignment horizontal="center" vertical="center"/>
    </xf>
    <xf numFmtId="3" fontId="38" fillId="34" borderId="0" xfId="0" applyNumberFormat="1" applyFont="1" applyFill="1" applyBorder="1" applyAlignment="1">
      <alignment horizontal="center" vertical="center"/>
    </xf>
    <xf numFmtId="3" fontId="38" fillId="34" borderId="15" xfId="0" applyNumberFormat="1" applyFont="1" applyFill="1" applyBorder="1" applyAlignment="1">
      <alignment horizontal="center" vertical="center"/>
    </xf>
    <xf numFmtId="10" fontId="38" fillId="32" borderId="13" xfId="0" applyNumberFormat="1" applyFont="1" applyFill="1" applyBorder="1" applyAlignment="1">
      <alignment horizontal="center" vertical="center"/>
    </xf>
    <xf numFmtId="10" fontId="38" fillId="34" borderId="13" xfId="0" applyNumberFormat="1" applyFont="1" applyFill="1" applyBorder="1" applyAlignment="1">
      <alignment horizontal="center" vertical="center"/>
    </xf>
    <xf numFmtId="10" fontId="38" fillId="34" borderId="16" xfId="0" applyNumberFormat="1" applyFont="1" applyFill="1" applyBorder="1" applyAlignment="1">
      <alignment horizontal="center" vertical="center"/>
    </xf>
    <xf numFmtId="10" fontId="38" fillId="34" borderId="14" xfId="0" applyNumberFormat="1" applyFont="1" applyFill="1" applyBorder="1" applyAlignment="1">
      <alignment horizontal="center" vertical="center"/>
    </xf>
    <xf numFmtId="10" fontId="38" fillId="34" borderId="15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38" fillId="34" borderId="14" xfId="0" applyNumberFormat="1" applyFont="1" applyFill="1" applyBorder="1" applyAlignment="1">
      <alignment horizontal="center" vertical="center"/>
    </xf>
    <xf numFmtId="0" fontId="38" fillId="35" borderId="0" xfId="0" applyFont="1" applyFill="1" applyAlignment="1"/>
    <xf numFmtId="2" fontId="23" fillId="34" borderId="0" xfId="0" applyNumberFormat="1" applyFont="1" applyFill="1" applyBorder="1" applyAlignment="1">
      <alignment horizontal="center" vertical="center" wrapText="1"/>
    </xf>
    <xf numFmtId="2" fontId="27" fillId="34" borderId="0" xfId="0" applyNumberFormat="1" applyFont="1" applyFill="1" applyBorder="1" applyAlignment="1"/>
    <xf numFmtId="2" fontId="27" fillId="34" borderId="0" xfId="0" applyNumberFormat="1" applyFont="1" applyFill="1" applyBorder="1"/>
    <xf numFmtId="0" fontId="38" fillId="34" borderId="0" xfId="0" applyFont="1" applyFill="1" applyBorder="1"/>
    <xf numFmtId="0" fontId="48" fillId="34" borderId="0" xfId="0" applyFont="1" applyFill="1" applyBorder="1" applyAlignment="1">
      <alignment horizontal="center" wrapText="1"/>
    </xf>
    <xf numFmtId="0" fontId="34" fillId="32" borderId="12" xfId="0" applyFont="1" applyFill="1" applyBorder="1" applyAlignment="1">
      <alignment wrapText="1"/>
    </xf>
    <xf numFmtId="0" fontId="34" fillId="32" borderId="12" xfId="0" applyFont="1" applyFill="1" applyBorder="1" applyAlignment="1">
      <alignment horizontal="center" wrapText="1"/>
    </xf>
    <xf numFmtId="0" fontId="34" fillId="34" borderId="12" xfId="0" applyFont="1" applyFill="1" applyBorder="1" applyAlignment="1">
      <alignment wrapText="1"/>
    </xf>
    <xf numFmtId="0" fontId="34" fillId="34" borderId="0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wrapText="1"/>
    </xf>
    <xf numFmtId="0" fontId="34" fillId="32" borderId="14" xfId="0" applyFont="1" applyFill="1" applyBorder="1" applyAlignment="1">
      <alignment horizontal="center" wrapText="1"/>
    </xf>
    <xf numFmtId="0" fontId="34" fillId="32" borderId="12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 wrapText="1"/>
    </xf>
    <xf numFmtId="0" fontId="34" fillId="34" borderId="12" xfId="0" applyFont="1" applyFill="1" applyBorder="1"/>
    <xf numFmtId="1" fontId="0" fillId="0" borderId="0" xfId="0" applyNumberFormat="1"/>
    <xf numFmtId="0" fontId="50" fillId="34" borderId="0" xfId="0" applyFont="1" applyFill="1"/>
    <xf numFmtId="0" fontId="39" fillId="34" borderId="0" xfId="0" applyFont="1" applyFill="1" applyAlignment="1">
      <alignment horizontal="left" vertical="center"/>
    </xf>
    <xf numFmtId="0" fontId="38" fillId="34" borderId="35" xfId="0" applyFont="1" applyFill="1" applyBorder="1"/>
    <xf numFmtId="0" fontId="38" fillId="34" borderId="35" xfId="0" applyFont="1" applyFill="1" applyBorder="1" applyAlignment="1">
      <alignment horizontal="center" vertical="center"/>
    </xf>
    <xf numFmtId="0" fontId="38" fillId="34" borderId="35" xfId="0" applyFont="1" applyFill="1" applyBorder="1" applyAlignment="1">
      <alignment vertical="center" wrapText="1"/>
    </xf>
    <xf numFmtId="0" fontId="38" fillId="34" borderId="0" xfId="0" applyFont="1" applyFill="1" applyAlignment="1">
      <alignment vertical="center"/>
    </xf>
    <xf numFmtId="0" fontId="50" fillId="35" borderId="0" xfId="0" applyFont="1" applyFill="1"/>
    <xf numFmtId="3" fontId="38" fillId="34" borderId="35" xfId="0" applyNumberFormat="1" applyFont="1" applyFill="1" applyBorder="1" applyAlignment="1">
      <alignment horizontal="center" vertical="center"/>
    </xf>
    <xf numFmtId="3" fontId="38" fillId="32" borderId="35" xfId="0" applyNumberFormat="1" applyFont="1" applyFill="1" applyBorder="1" applyAlignment="1">
      <alignment horizontal="center" vertical="center"/>
    </xf>
    <xf numFmtId="10" fontId="38" fillId="34" borderId="35" xfId="0" applyNumberFormat="1" applyFont="1" applyFill="1" applyBorder="1" applyAlignment="1">
      <alignment horizontal="center" vertical="center"/>
    </xf>
    <xf numFmtId="10" fontId="38" fillId="32" borderId="35" xfId="0" applyNumberFormat="1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50" fillId="34" borderId="35" xfId="0" applyFont="1" applyFill="1" applyBorder="1"/>
    <xf numFmtId="3" fontId="38" fillId="32" borderId="38" xfId="0" applyNumberFormat="1" applyFont="1" applyFill="1" applyBorder="1" applyAlignment="1">
      <alignment horizontal="center" vertical="center"/>
    </xf>
    <xf numFmtId="0" fontId="38" fillId="32" borderId="40" xfId="0" applyFont="1" applyFill="1" applyBorder="1" applyAlignment="1">
      <alignment vertical="center" wrapText="1"/>
    </xf>
    <xf numFmtId="0" fontId="38" fillId="32" borderId="35" xfId="0" applyFont="1" applyFill="1" applyBorder="1" applyAlignment="1">
      <alignment vertical="center" wrapText="1"/>
    </xf>
    <xf numFmtId="0" fontId="50" fillId="34" borderId="45" xfId="0" applyFont="1" applyFill="1" applyBorder="1"/>
    <xf numFmtId="0" fontId="38" fillId="34" borderId="45" xfId="0" applyFont="1" applyFill="1" applyBorder="1" applyAlignment="1">
      <alignment vertical="center"/>
    </xf>
    <xf numFmtId="3" fontId="38" fillId="34" borderId="38" xfId="0" applyNumberFormat="1" applyFont="1" applyFill="1" applyBorder="1" applyAlignment="1">
      <alignment horizontal="center" vertical="center"/>
    </xf>
    <xf numFmtId="0" fontId="38" fillId="32" borderId="46" xfId="0" applyFont="1" applyFill="1" applyBorder="1" applyAlignment="1">
      <alignment vertical="center" wrapText="1"/>
    </xf>
    <xf numFmtId="0" fontId="38" fillId="32" borderId="37" xfId="0" applyFont="1" applyFill="1" applyBorder="1" applyAlignment="1">
      <alignment vertical="center" wrapText="1"/>
    </xf>
    <xf numFmtId="0" fontId="38" fillId="34" borderId="46" xfId="0" applyFont="1" applyFill="1" applyBorder="1" applyAlignment="1">
      <alignment vertical="center" wrapText="1"/>
    </xf>
    <xf numFmtId="0" fontId="50" fillId="34" borderId="47" xfId="0" applyFont="1" applyFill="1" applyBorder="1"/>
    <xf numFmtId="0" fontId="48" fillId="32" borderId="35" xfId="0" applyFont="1" applyFill="1" applyBorder="1" applyAlignment="1">
      <alignment vertical="center" wrapText="1"/>
    </xf>
    <xf numFmtId="0" fontId="37" fillId="34" borderId="0" xfId="0" applyFont="1" applyFill="1" applyAlignment="1">
      <alignment horizontal="right"/>
    </xf>
    <xf numFmtId="0" fontId="35" fillId="35" borderId="0" xfId="0" applyFont="1" applyFill="1"/>
    <xf numFmtId="0" fontId="23" fillId="34" borderId="0" xfId="0" applyFont="1" applyFill="1" applyBorder="1" applyAlignment="1">
      <alignment vertical="center" wrapText="1"/>
    </xf>
    <xf numFmtId="0" fontId="38" fillId="35" borderId="0" xfId="0" applyFont="1" applyFill="1"/>
    <xf numFmtId="0" fontId="27" fillId="34" borderId="0" xfId="0" applyFont="1" applyFill="1" applyBorder="1"/>
    <xf numFmtId="0" fontId="27" fillId="34" borderId="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vertical="center" wrapText="1"/>
    </xf>
    <xf numFmtId="10" fontId="27" fillId="34" borderId="0" xfId="0" applyNumberFormat="1" applyFont="1" applyFill="1" applyBorder="1" applyAlignment="1">
      <alignment horizontal="center" vertical="center"/>
    </xf>
    <xf numFmtId="0" fontId="38" fillId="32" borderId="35" xfId="0" applyFont="1" applyFill="1" applyBorder="1" applyAlignment="1">
      <alignment vertical="center"/>
    </xf>
    <xf numFmtId="0" fontId="51" fillId="32" borderId="35" xfId="0" applyFont="1" applyFill="1" applyBorder="1" applyAlignment="1">
      <alignment horizontal="center" vertical="center" wrapText="1"/>
    </xf>
    <xf numFmtId="3" fontId="48" fillId="34" borderId="35" xfId="0" applyNumberFormat="1" applyFont="1" applyFill="1" applyBorder="1" applyAlignment="1">
      <alignment horizontal="center" vertical="center"/>
    </xf>
    <xf numFmtId="10" fontId="48" fillId="34" borderId="35" xfId="0" applyNumberFormat="1" applyFont="1" applyFill="1" applyBorder="1" applyAlignment="1">
      <alignment horizontal="center" vertical="center"/>
    </xf>
    <xf numFmtId="0" fontId="51" fillId="34" borderId="35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 vertical="center"/>
    </xf>
    <xf numFmtId="0" fontId="34" fillId="34" borderId="0" xfId="0" applyFont="1" applyFill="1"/>
    <xf numFmtId="0" fontId="45" fillId="34" borderId="12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34" fillId="32" borderId="12" xfId="0" applyFont="1" applyFill="1" applyBorder="1" applyAlignment="1">
      <alignment vertical="center" wrapText="1"/>
    </xf>
    <xf numFmtId="0" fontId="34" fillId="34" borderId="12" xfId="0" applyFont="1" applyFill="1" applyBorder="1" applyAlignment="1">
      <alignment vertical="center" wrapText="1"/>
    </xf>
    <xf numFmtId="0" fontId="34" fillId="34" borderId="0" xfId="0" applyFont="1" applyFill="1" applyBorder="1"/>
    <xf numFmtId="0" fontId="34" fillId="32" borderId="14" xfId="0" applyFont="1" applyFill="1" applyBorder="1" applyAlignment="1">
      <alignment wrapText="1"/>
    </xf>
    <xf numFmtId="0" fontId="34" fillId="34" borderId="12" xfId="0" applyFont="1" applyFill="1" applyBorder="1" applyAlignment="1">
      <alignment vertical="center"/>
    </xf>
    <xf numFmtId="0" fontId="34" fillId="32" borderId="14" xfId="0" applyFont="1" applyFill="1" applyBorder="1" applyAlignment="1">
      <alignment vertical="center"/>
    </xf>
    <xf numFmtId="0" fontId="45" fillId="34" borderId="12" xfId="0" applyFont="1" applyFill="1" applyBorder="1" applyAlignment="1">
      <alignment horizontal="left" vertical="center"/>
    </xf>
    <xf numFmtId="0" fontId="30" fillId="34" borderId="0" xfId="0" applyFont="1" applyFill="1"/>
    <xf numFmtId="0" fontId="54" fillId="34" borderId="0" xfId="0" applyFont="1" applyFill="1"/>
    <xf numFmtId="0" fontId="52" fillId="35" borderId="0" xfId="0" applyFont="1" applyFill="1" applyAlignment="1">
      <alignment vertical="center"/>
    </xf>
    <xf numFmtId="0" fontId="30" fillId="35" borderId="0" xfId="0" applyFont="1" applyFill="1"/>
    <xf numFmtId="0" fontId="30" fillId="0" borderId="0" xfId="0" applyFont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41" fillId="34" borderId="17" xfId="0" applyFont="1" applyFill="1" applyBorder="1" applyAlignment="1">
      <alignment horizontal="left" vertical="center" wrapText="1" indent="1"/>
    </xf>
    <xf numFmtId="3" fontId="30" fillId="34" borderId="18" xfId="0" applyNumberFormat="1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3" fontId="54" fillId="34" borderId="0" xfId="0" applyNumberFormat="1" applyFont="1" applyFill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left" vertical="center" wrapText="1"/>
    </xf>
    <xf numFmtId="3" fontId="54" fillId="34" borderId="0" xfId="0" applyNumberFormat="1" applyFont="1" applyFill="1" applyBorder="1" applyAlignment="1">
      <alignment horizontal="center" vertical="center"/>
    </xf>
    <xf numFmtId="10" fontId="54" fillId="34" borderId="0" xfId="0" applyNumberFormat="1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 wrapText="1"/>
    </xf>
    <xf numFmtId="0" fontId="30" fillId="32" borderId="14" xfId="0" applyFont="1" applyFill="1" applyBorder="1" applyAlignment="1">
      <alignment horizontal="center" vertical="center"/>
    </xf>
    <xf numFmtId="3" fontId="30" fillId="32" borderId="0" xfId="0" applyNumberFormat="1" applyFont="1" applyFill="1" applyBorder="1" applyAlignment="1">
      <alignment horizontal="center" vertical="center"/>
    </xf>
    <xf numFmtId="10" fontId="30" fillId="32" borderId="31" xfId="0" applyNumberFormat="1" applyFont="1" applyFill="1" applyBorder="1" applyAlignment="1">
      <alignment horizontal="center" vertical="center"/>
    </xf>
    <xf numFmtId="0" fontId="30" fillId="32" borderId="30" xfId="0" applyFont="1" applyFill="1" applyBorder="1" applyAlignment="1">
      <alignment horizontal="left" vertical="center"/>
    </xf>
    <xf numFmtId="3" fontId="24" fillId="34" borderId="0" xfId="0" applyNumberFormat="1" applyFont="1" applyFill="1"/>
    <xf numFmtId="10" fontId="24" fillId="34" borderId="0" xfId="0" applyNumberFormat="1" applyFont="1" applyFill="1"/>
    <xf numFmtId="0" fontId="23" fillId="36" borderId="52" xfId="0" applyFont="1" applyFill="1" applyBorder="1" applyAlignment="1">
      <alignment horizontal="center" vertical="center" wrapText="1"/>
    </xf>
    <xf numFmtId="0" fontId="38" fillId="34" borderId="53" xfId="0" applyFont="1" applyFill="1" applyBorder="1" applyAlignment="1"/>
    <xf numFmtId="3" fontId="34" fillId="32" borderId="0" xfId="0" applyNumberFormat="1" applyFont="1" applyFill="1" applyBorder="1" applyAlignment="1">
      <alignment horizontal="center" vertical="center" wrapText="1"/>
    </xf>
    <xf numFmtId="3" fontId="34" fillId="32" borderId="1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0" fillId="32" borderId="12" xfId="0" applyFont="1" applyFill="1" applyBorder="1" applyAlignment="1">
      <alignment horizontal="center" vertical="center"/>
    </xf>
    <xf numFmtId="0" fontId="30" fillId="32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2" borderId="16" xfId="0" applyFont="1" applyFill="1" applyBorder="1" applyAlignment="1">
      <alignment horizontal="center" vertical="center"/>
    </xf>
    <xf numFmtId="2" fontId="30" fillId="32" borderId="15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lef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left" vertical="center" wrapText="1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left" vertical="center" wrapText="1"/>
    </xf>
    <xf numFmtId="0" fontId="38" fillId="34" borderId="16" xfId="0" applyFont="1" applyFill="1" applyBorder="1" applyAlignment="1">
      <alignment horizontal="center" vertical="center"/>
    </xf>
    <xf numFmtId="0" fontId="42" fillId="35" borderId="0" xfId="0" applyFont="1" applyFill="1"/>
    <xf numFmtId="0" fontId="48" fillId="35" borderId="0" xfId="0" applyFont="1" applyFill="1" applyBorder="1" applyAlignment="1">
      <alignment vertical="center" wrapText="1"/>
    </xf>
    <xf numFmtId="0" fontId="35" fillId="34" borderId="0" xfId="0" applyFont="1" applyFill="1"/>
    <xf numFmtId="0" fontId="55" fillId="34" borderId="0" xfId="38" applyFont="1" applyFill="1" applyAlignment="1">
      <alignment horizontal="left" vertical="center"/>
    </xf>
    <xf numFmtId="0" fontId="57" fillId="34" borderId="0" xfId="0" applyFont="1" applyFill="1"/>
    <xf numFmtId="0" fontId="50" fillId="34" borderId="0" xfId="0" applyFont="1" applyFill="1" applyAlignment="1">
      <alignment horizontal="left" vertical="center" wrapText="1"/>
    </xf>
    <xf numFmtId="0" fontId="35" fillId="35" borderId="0" xfId="0" applyFont="1" applyFill="1" applyAlignment="1" applyProtection="1">
      <alignment horizontal="left" vertical="center"/>
      <protection locked="0"/>
    </xf>
    <xf numFmtId="0" fontId="0" fillId="42" borderId="0" xfId="0" applyFill="1" applyAlignment="1">
      <alignment wrapText="1"/>
    </xf>
    <xf numFmtId="0" fontId="50" fillId="34" borderId="0" xfId="0" applyFont="1" applyFill="1" applyAlignment="1">
      <alignment horizontal="justify" vertical="justify" wrapText="1"/>
    </xf>
    <xf numFmtId="0" fontId="56" fillId="35" borderId="0" xfId="38" applyFont="1" applyFill="1" applyAlignment="1">
      <alignment horizontal="left" vertical="center"/>
    </xf>
    <xf numFmtId="0" fontId="56" fillId="34" borderId="0" xfId="38" applyFont="1" applyFill="1" applyAlignment="1">
      <alignment horizontal="left" vertical="center"/>
    </xf>
    <xf numFmtId="0" fontId="56" fillId="35" borderId="0" xfId="38" applyFont="1" applyFill="1" applyAlignment="1">
      <alignment horizontal="left" vertical="center" wrapText="1"/>
    </xf>
    <xf numFmtId="0" fontId="29" fillId="36" borderId="9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left" vertical="center" wrapText="1"/>
    </xf>
    <xf numFmtId="0" fontId="30" fillId="34" borderId="0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0" fillId="32" borderId="0" xfId="0" applyFont="1" applyFill="1" applyBorder="1" applyAlignment="1">
      <alignment horizontal="left" vertical="center" wrapText="1"/>
    </xf>
    <xf numFmtId="0" fontId="30" fillId="34" borderId="32" xfId="0" applyFont="1" applyFill="1" applyBorder="1" applyAlignment="1">
      <alignment horizontal="left" vertical="center" wrapText="1"/>
    </xf>
    <xf numFmtId="0" fontId="30" fillId="34" borderId="33" xfId="0" applyFont="1" applyFill="1" applyBorder="1" applyAlignment="1">
      <alignment horizontal="left" vertical="center" wrapText="1"/>
    </xf>
    <xf numFmtId="0" fontId="30" fillId="32" borderId="12" xfId="0" applyFont="1" applyFill="1" applyBorder="1" applyAlignment="1">
      <alignment horizontal="left" vertical="center" wrapText="1"/>
    </xf>
    <xf numFmtId="0" fontId="30" fillId="32" borderId="14" xfId="0" applyFont="1" applyFill="1" applyBorder="1" applyAlignment="1">
      <alignment horizontal="left" vertical="center" wrapText="1"/>
    </xf>
    <xf numFmtId="0" fontId="30" fillId="32" borderId="32" xfId="0" applyFont="1" applyFill="1" applyBorder="1" applyAlignment="1">
      <alignment horizontal="left" vertical="center" wrapText="1"/>
    </xf>
    <xf numFmtId="0" fontId="30" fillId="32" borderId="33" xfId="0" applyFont="1" applyFill="1" applyBorder="1" applyAlignment="1">
      <alignment horizontal="left" vertical="center" wrapText="1"/>
    </xf>
    <xf numFmtId="0" fontId="29" fillId="36" borderId="27" xfId="0" applyFont="1" applyFill="1" applyBorder="1" applyAlignment="1">
      <alignment horizontal="center" vertical="center"/>
    </xf>
    <xf numFmtId="0" fontId="29" fillId="36" borderId="28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 wrapText="1"/>
    </xf>
    <xf numFmtId="0" fontId="29" fillId="36" borderId="28" xfId="0" applyFont="1" applyFill="1" applyBorder="1" applyAlignment="1">
      <alignment horizontal="center" vertical="center" wrapText="1"/>
    </xf>
    <xf numFmtId="0" fontId="29" fillId="36" borderId="29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28" fillId="36" borderId="9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vertical="center" wrapText="1"/>
    </xf>
    <xf numFmtId="0" fontId="34" fillId="34" borderId="14" xfId="0" applyFont="1" applyFill="1" applyBorder="1" applyAlignment="1">
      <alignment horizontal="left" vertical="center" wrapText="1"/>
    </xf>
    <xf numFmtId="0" fontId="34" fillId="34" borderId="15" xfId="0" applyFont="1" applyFill="1" applyBorder="1" applyAlignment="1">
      <alignment horizontal="left" vertical="center" wrapText="1"/>
    </xf>
    <xf numFmtId="0" fontId="28" fillId="36" borderId="9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34" fillId="32" borderId="12" xfId="0" applyFont="1" applyFill="1" applyBorder="1" applyAlignment="1">
      <alignment horizontal="left" vertical="center" wrapText="1"/>
    </xf>
    <xf numFmtId="0" fontId="34" fillId="32" borderId="0" xfId="0" applyFont="1" applyFill="1" applyBorder="1" applyAlignment="1">
      <alignment horizontal="left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40" fillId="36" borderId="9" xfId="0" applyFont="1" applyFill="1" applyBorder="1" applyAlignment="1">
      <alignment horizontal="center" vertical="center" wrapText="1"/>
    </xf>
    <xf numFmtId="0" fontId="40" fillId="36" borderId="11" xfId="0" applyFont="1" applyFill="1" applyBorder="1" applyAlignment="1">
      <alignment horizontal="center" vertical="center" wrapText="1"/>
    </xf>
    <xf numFmtId="0" fontId="33" fillId="34" borderId="0" xfId="0" applyFont="1" applyFill="1" applyAlignment="1">
      <alignment horizontal="left" vertical="center" wrapText="1"/>
    </xf>
    <xf numFmtId="165" fontId="45" fillId="34" borderId="0" xfId="0" applyNumberFormat="1" applyFont="1" applyFill="1" applyBorder="1" applyAlignment="1">
      <alignment horizontal="center" vertical="center" wrapText="1"/>
    </xf>
    <xf numFmtId="165" fontId="45" fillId="34" borderId="13" xfId="0" applyNumberFormat="1" applyFont="1" applyFill="1" applyBorder="1" applyAlignment="1">
      <alignment horizontal="center" vertical="center" wrapText="1"/>
    </xf>
    <xf numFmtId="165" fontId="34" fillId="32" borderId="0" xfId="0" applyNumberFormat="1" applyFont="1" applyFill="1" applyBorder="1" applyAlignment="1">
      <alignment horizontal="center" vertical="center"/>
    </xf>
    <xf numFmtId="165" fontId="34" fillId="32" borderId="13" xfId="0" applyNumberFormat="1" applyFont="1" applyFill="1" applyBorder="1" applyAlignment="1">
      <alignment horizontal="center" vertical="center"/>
    </xf>
    <xf numFmtId="165" fontId="34" fillId="34" borderId="15" xfId="0" applyNumberFormat="1" applyFont="1" applyFill="1" applyBorder="1" applyAlignment="1">
      <alignment horizontal="center" vertical="center"/>
    </xf>
    <xf numFmtId="165" fontId="34" fillId="34" borderId="16" xfId="0" applyNumberFormat="1" applyFont="1" applyFill="1" applyBorder="1" applyAlignment="1">
      <alignment horizontal="center" vertical="center"/>
    </xf>
    <xf numFmtId="2" fontId="23" fillId="36" borderId="23" xfId="0" applyNumberFormat="1" applyFont="1" applyFill="1" applyBorder="1" applyAlignment="1">
      <alignment horizontal="center" vertical="center" wrapText="1"/>
    </xf>
    <xf numFmtId="2" fontId="23" fillId="36" borderId="24" xfId="0" applyNumberFormat="1" applyFont="1" applyFill="1" applyBorder="1" applyAlignment="1">
      <alignment horizontal="center" vertical="center" wrapText="1"/>
    </xf>
    <xf numFmtId="2" fontId="23" fillId="36" borderId="25" xfId="0" applyNumberFormat="1" applyFont="1" applyFill="1" applyBorder="1" applyAlignment="1">
      <alignment horizontal="center" vertical="center" wrapText="1"/>
    </xf>
    <xf numFmtId="0" fontId="23" fillId="36" borderId="9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2" fontId="23" fillId="34" borderId="0" xfId="0" applyNumberFormat="1" applyFont="1" applyFill="1" applyBorder="1" applyAlignment="1">
      <alignment horizontal="center" vertical="center" wrapText="1"/>
    </xf>
    <xf numFmtId="0" fontId="47" fillId="34" borderId="44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2" fontId="38" fillId="34" borderId="15" xfId="0" applyNumberFormat="1" applyFont="1" applyFill="1" applyBorder="1" applyAlignment="1">
      <alignment horizontal="center" vertical="center"/>
    </xf>
    <xf numFmtId="2" fontId="38" fillId="34" borderId="16" xfId="0" applyNumberFormat="1" applyFont="1" applyFill="1" applyBorder="1" applyAlignment="1">
      <alignment horizontal="center" vertical="center"/>
    </xf>
    <xf numFmtId="2" fontId="23" fillId="36" borderId="9" xfId="0" applyNumberFormat="1" applyFont="1" applyFill="1" applyBorder="1" applyAlignment="1">
      <alignment horizontal="center" vertical="center" wrapText="1"/>
    </xf>
    <xf numFmtId="2" fontId="23" fillId="36" borderId="10" xfId="0" applyNumberFormat="1" applyFont="1" applyFill="1" applyBorder="1" applyAlignment="1">
      <alignment horizontal="center" vertical="center" wrapText="1"/>
    </xf>
    <xf numFmtId="2" fontId="23" fillId="36" borderId="11" xfId="0" applyNumberFormat="1" applyFont="1" applyFill="1" applyBorder="1" applyAlignment="1">
      <alignment horizontal="center" vertical="center" wrapText="1"/>
    </xf>
    <xf numFmtId="0" fontId="23" fillId="36" borderId="51" xfId="0" applyFont="1" applyFill="1" applyBorder="1" applyAlignment="1">
      <alignment horizontal="center" vertical="center" wrapText="1"/>
    </xf>
    <xf numFmtId="0" fontId="23" fillId="36" borderId="54" xfId="0" applyFont="1" applyFill="1" applyBorder="1" applyAlignment="1">
      <alignment horizontal="center" vertical="center" wrapText="1"/>
    </xf>
    <xf numFmtId="0" fontId="38" fillId="32" borderId="37" xfId="0" applyFont="1" applyFill="1" applyBorder="1" applyAlignment="1">
      <alignment horizontal="left" vertical="center" wrapText="1"/>
    </xf>
    <xf numFmtId="0" fontId="38" fillId="32" borderId="38" xfId="0" applyFont="1" applyFill="1" applyBorder="1" applyAlignment="1">
      <alignment horizontal="left" vertical="center" wrapText="1"/>
    </xf>
    <xf numFmtId="0" fontId="38" fillId="34" borderId="37" xfId="0" applyFont="1" applyFill="1" applyBorder="1" applyAlignment="1">
      <alignment horizontal="left" vertical="center" wrapText="1"/>
    </xf>
    <xf numFmtId="0" fontId="38" fillId="34" borderId="38" xfId="0" applyFont="1" applyFill="1" applyBorder="1" applyAlignment="1">
      <alignment horizontal="left" vertical="center" wrapText="1"/>
    </xf>
    <xf numFmtId="0" fontId="38" fillId="32" borderId="35" xfId="0" applyFont="1" applyFill="1" applyBorder="1" applyAlignment="1">
      <alignment horizontal="left" vertical="center" wrapText="1"/>
    </xf>
    <xf numFmtId="0" fontId="38" fillId="34" borderId="35" xfId="0" applyFont="1" applyFill="1" applyBorder="1" applyAlignment="1">
      <alignment horizontal="left" vertical="center" wrapText="1"/>
    </xf>
    <xf numFmtId="0" fontId="23" fillId="36" borderId="36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48" fillId="34" borderId="40" xfId="0" applyFont="1" applyFill="1" applyBorder="1" applyAlignment="1">
      <alignment horizontal="center" vertical="center" wrapText="1"/>
    </xf>
    <xf numFmtId="0" fontId="48" fillId="34" borderId="41" xfId="0" applyFont="1" applyFill="1" applyBorder="1" applyAlignment="1">
      <alignment horizontal="center" vertical="center" wrapText="1"/>
    </xf>
    <xf numFmtId="0" fontId="48" fillId="34" borderId="48" xfId="0" applyFont="1" applyFill="1" applyBorder="1" applyAlignment="1">
      <alignment horizontal="center" vertical="center" wrapText="1"/>
    </xf>
    <xf numFmtId="0" fontId="48" fillId="34" borderId="49" xfId="0" applyFont="1" applyFill="1" applyBorder="1" applyAlignment="1">
      <alignment horizontal="center" vertical="center" wrapText="1"/>
    </xf>
    <xf numFmtId="0" fontId="48" fillId="34" borderId="46" xfId="0" applyFont="1" applyFill="1" applyBorder="1" applyAlignment="1">
      <alignment horizontal="center" vertical="center" wrapText="1"/>
    </xf>
    <xf numFmtId="0" fontId="48" fillId="34" borderId="50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0" xfId="0" applyFont="1" applyFill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 wrapText="1"/>
    </xf>
    <xf numFmtId="0" fontId="23" fillId="36" borderId="39" xfId="0" applyFont="1" applyFill="1" applyBorder="1" applyAlignment="1">
      <alignment horizontal="center" vertical="center" wrapText="1"/>
    </xf>
    <xf numFmtId="0" fontId="23" fillId="36" borderId="38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center" vertical="center" wrapText="1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Hipervínculo" xfId="38" builtinId="8" customBuiltin="1"/>
    <cellStyle name="Hipervínculo visitado" xfId="39" builtinId="9" customBuiltin="1"/>
    <cellStyle name="Incorrecto" xfId="4" builtinId="27" customBuiltin="1"/>
    <cellStyle name="Neutral 2" xfId="40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41"/>
    <cellStyle name="Total" xfId="13" builtinId="25" customBuiltin="1"/>
  </cellStyles>
  <dxfs count="0"/>
  <tableStyles count="0" defaultTableStyle="TableStyleMedium2" defaultPivotStyle="PivotStyleLight16"/>
  <colors>
    <mruColors>
      <color rgb="FF595959"/>
      <color rgb="FF621132"/>
      <color rgb="FFB09A5B"/>
      <color rgb="FF333333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800"/>
              <a:t>Porcentaje de población por tipo de localidad. 2010</a:t>
            </a:r>
          </a:p>
        </c:rich>
      </c:tx>
      <c:layout>
        <c:manualLayout>
          <c:xMode val="edge"/>
          <c:yMode val="edge"/>
          <c:x val="0.15387485114161514"/>
          <c:y val="1.554607421842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83885504877928E-2"/>
          <c:y val="0.30274895668161106"/>
          <c:w val="0.83690090625464275"/>
          <c:h val="0.510981364458673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5"/>
          <c:dPt>
            <c:idx val="0"/>
            <c:bubble3D val="0"/>
            <c:spPr>
              <a:solidFill>
                <a:srgbClr val="595959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5C2-4619-84E9-2B605FC1D611}"/>
              </c:ext>
            </c:extLst>
          </c:dPt>
          <c:dPt>
            <c:idx val="1"/>
            <c:bubble3D val="0"/>
            <c:spPr>
              <a:solidFill>
                <a:srgbClr val="B09A5B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5C2-4619-84E9-2B605FC1D611}"/>
              </c:ext>
            </c:extLst>
          </c:dPt>
          <c:dLbls>
            <c:dLbl>
              <c:idx val="0"/>
              <c:layout>
                <c:manualLayout>
                  <c:x val="-0.22737249393121634"/>
                  <c:y val="-0.184805265997476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C2-4619-84E9-2B605FC1D611}"/>
                </c:ext>
              </c:extLst>
            </c:dLbl>
            <c:dLbl>
              <c:idx val="1"/>
              <c:layout>
                <c:manualLayout>
                  <c:x val="0.16658804973321997"/>
                  <c:y val="0.11823986407200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C2-4619-84E9-2B605FC1D6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621132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'POBLACIÓN TOTAL'!$K$9:$K$10</c:f>
              <c:strCache>
                <c:ptCount val="2"/>
                <c:pt idx="0">
                  <c:v>Urbana</c:v>
                </c:pt>
                <c:pt idx="1">
                  <c:v>Rural</c:v>
                </c:pt>
              </c:strCache>
            </c:strRef>
          </c:cat>
          <c:val>
            <c:numRef>
              <c:f>'POBLACIÓN TOTAL'!$M$9:$M$10</c:f>
              <c:numCache>
                <c:formatCode>0.00%</c:formatCode>
                <c:ptCount val="2"/>
                <c:pt idx="0">
                  <c:v>0.44694897109551562</c:v>
                </c:pt>
                <c:pt idx="1">
                  <c:v>0.55305102890448432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C2-4619-84E9-2B605FC1D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4977628361258E-2"/>
          <c:y val="0.85762917471767652"/>
          <c:w val="0.85678046879977265"/>
          <c:h val="0.1112786768454689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1100"/>
              <a:t>Porcentaje de hogares por tipo de hogar.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HOGARES!$F$28</c:f>
              <c:strCache>
                <c:ptCount val="1"/>
                <c:pt idx="0">
                  <c:v>Familiar nuclear</c:v>
                </c:pt>
              </c:strCache>
            </c:strRef>
          </c:tx>
          <c:spPr>
            <a:solidFill>
              <a:srgbClr val="B09A5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HOGARES!$H$28</c:f>
              <c:numCache>
                <c:formatCode>0.00%</c:formatCode>
                <c:ptCount val="1"/>
                <c:pt idx="0">
                  <c:v>0.63715964975410821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6-42D3-A18E-9A225EBFA237}"/>
            </c:ext>
          </c:extLst>
        </c:ser>
        <c:ser>
          <c:idx val="1"/>
          <c:order val="1"/>
          <c:tx>
            <c:strRef>
              <c:f>HOGARES!$F$29</c:f>
              <c:strCache>
                <c:ptCount val="1"/>
                <c:pt idx="0">
                  <c:v>Familiar ampliado</c:v>
                </c:pt>
              </c:strCache>
            </c:strRef>
          </c:tx>
          <c:spPr>
            <a:solidFill>
              <a:srgbClr val="5959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HOGARES!$H$29</c:f>
              <c:numCache>
                <c:formatCode>0.00%</c:formatCode>
                <c:ptCount val="1"/>
                <c:pt idx="0">
                  <c:v>0.33447283195394029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D6-42D3-A18E-9A225EBFA237}"/>
            </c:ext>
          </c:extLst>
        </c:ser>
        <c:ser>
          <c:idx val="2"/>
          <c:order val="2"/>
          <c:tx>
            <c:strRef>
              <c:f>HOGARES!$F$30</c:f>
              <c:strCache>
                <c:ptCount val="1"/>
                <c:pt idx="0">
                  <c:v>Familiar compuesto</c:v>
                </c:pt>
              </c:strCache>
            </c:strRef>
          </c:tx>
          <c:spPr>
            <a:solidFill>
              <a:srgbClr val="62113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HOGARES!$H$30</c:f>
              <c:numCache>
                <c:formatCode>0.00%</c:formatCode>
                <c:ptCount val="1"/>
                <c:pt idx="0">
                  <c:v>1.1035144536403982E-2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D6-42D3-A18E-9A225EBFA237}"/>
            </c:ext>
          </c:extLst>
        </c:ser>
        <c:ser>
          <c:idx val="3"/>
          <c:order val="3"/>
          <c:tx>
            <c:strRef>
              <c:f>HOGARES!$F$31</c:f>
              <c:strCache>
                <c:ptCount val="1"/>
                <c:pt idx="0">
                  <c:v>No familiar unipersonal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HOGARES!$H$31</c:f>
              <c:numCache>
                <c:formatCode>0.00%</c:formatCode>
                <c:ptCount val="1"/>
                <c:pt idx="0">
                  <c:v>1.595298068849706E-2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D6-42D3-A18E-9A225EBFA237}"/>
            </c:ext>
          </c:extLst>
        </c:ser>
        <c:ser>
          <c:idx val="4"/>
          <c:order val="4"/>
          <c:tx>
            <c:strRef>
              <c:f>HOGARES!$F$32</c:f>
              <c:strCache>
                <c:ptCount val="1"/>
                <c:pt idx="0">
                  <c:v>No familiar de corresidente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HOGARES!$H$32</c:f>
              <c:numCache>
                <c:formatCode>0.00%</c:formatCode>
                <c:ptCount val="1"/>
                <c:pt idx="0">
                  <c:v>1.3793930670504978E-3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D6-42D3-A18E-9A225EBF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9756264"/>
        <c:axId val="649752984"/>
      </c:barChart>
      <c:catAx>
        <c:axId val="649756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9752984"/>
        <c:crosses val="autoZero"/>
        <c:auto val="1"/>
        <c:lblAlgn val="ctr"/>
        <c:lblOffset val="100"/>
        <c:noMultiLvlLbl val="0"/>
      </c:catAx>
      <c:valAx>
        <c:axId val="64975298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64975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1200"/>
              <a:t>Población por tamaño de localidad.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LOCALIDADES'!$B$9</c:f>
              <c:strCache>
                <c:ptCount val="1"/>
                <c:pt idx="0">
                  <c:v>En localidades de 1 a 249 habitantes</c:v>
                </c:pt>
              </c:strCache>
            </c:strRef>
          </c:tx>
          <c:spPr>
            <a:solidFill>
              <a:srgbClr val="B09A5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LOCALIDADES'!$C$9</c:f>
              <c:numCache>
                <c:formatCode>#,##0</c:formatCode>
                <c:ptCount val="1"/>
                <c:pt idx="0">
                  <c:v>3170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1-4FA1-8BF0-434158B51ADE}"/>
            </c:ext>
          </c:extLst>
        </c:ser>
        <c:ser>
          <c:idx val="1"/>
          <c:order val="1"/>
          <c:tx>
            <c:strRef>
              <c:f>'TAMAÑO DE LOCALIDADES'!$B$10</c:f>
              <c:strCache>
                <c:ptCount val="1"/>
                <c:pt idx="0">
                  <c:v>En localidades de 250 a 499 habitantes</c:v>
                </c:pt>
              </c:strCache>
            </c:strRef>
          </c:tx>
          <c:spPr>
            <a:solidFill>
              <a:srgbClr val="62113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LOCALIDADES'!$C$10</c:f>
              <c:numCache>
                <c:formatCode>#,##0</c:formatCode>
                <c:ptCount val="1"/>
                <c:pt idx="0">
                  <c:v>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1-4FA1-8BF0-434158B51ADE}"/>
            </c:ext>
          </c:extLst>
        </c:ser>
        <c:ser>
          <c:idx val="2"/>
          <c:order val="2"/>
          <c:tx>
            <c:strRef>
              <c:f>'TAMAÑO DE LOCALIDADES'!$B$11</c:f>
              <c:strCache>
                <c:ptCount val="1"/>
                <c:pt idx="0">
                  <c:v>En localidades de 500 a 2,499 habitantes</c:v>
                </c:pt>
              </c:strCache>
            </c:strRef>
          </c:tx>
          <c:spPr>
            <a:solidFill>
              <a:srgbClr val="5959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LOCALIDADES'!$C$11</c:f>
              <c:numCache>
                <c:formatCode>#,##0</c:formatCode>
                <c:ptCount val="1"/>
                <c:pt idx="0">
                  <c:v>4231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D1-4FA1-8BF0-434158B51ADE}"/>
            </c:ext>
          </c:extLst>
        </c:ser>
        <c:ser>
          <c:idx val="3"/>
          <c:order val="3"/>
          <c:tx>
            <c:strRef>
              <c:f>'TAMAÑO DE LOCALIDADES'!$B$12</c:f>
              <c:strCache>
                <c:ptCount val="1"/>
                <c:pt idx="0">
                  <c:v>En localidades de 2,500 a 4,999 habitantes</c:v>
                </c:pt>
              </c:strCache>
            </c:strRef>
          </c:tx>
          <c:spPr>
            <a:solidFill>
              <a:srgbClr val="B09A5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LOCALIDADES'!$C$12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D1-4FA1-8BF0-434158B51ADE}"/>
            </c:ext>
          </c:extLst>
        </c:ser>
        <c:ser>
          <c:idx val="4"/>
          <c:order val="4"/>
          <c:tx>
            <c:strRef>
              <c:f>'TAMAÑO DE LOCALIDADES'!$B$13</c:f>
              <c:strCache>
                <c:ptCount val="1"/>
                <c:pt idx="0">
                  <c:v>En localidades de 5,000 a 9,999 habitantes</c:v>
                </c:pt>
              </c:strCache>
            </c:strRef>
          </c:tx>
          <c:spPr>
            <a:solidFill>
              <a:srgbClr val="62113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LOCALIDADES'!$C$13</c:f>
              <c:numCache>
                <c:formatCode>#,##0</c:formatCode>
                <c:ptCount val="1"/>
                <c:pt idx="0">
                  <c:v>7515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D1-4FA1-8BF0-434158B51ADE}"/>
            </c:ext>
          </c:extLst>
        </c:ser>
        <c:ser>
          <c:idx val="5"/>
          <c:order val="5"/>
          <c:tx>
            <c:strRef>
              <c:f>'TAMAÑO DE LOCALIDADES'!$B$14</c:f>
              <c:strCache>
                <c:ptCount val="1"/>
                <c:pt idx="0">
                  <c:v>En localidades de 10,000 a 49,999 habitantes</c:v>
                </c:pt>
              </c:strCache>
            </c:strRef>
          </c:tx>
          <c:spPr>
            <a:solidFill>
              <a:srgbClr val="59595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959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D1-4FA1-8BF0-434158B51A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LOCALIDADES'!$C$14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D1-4FA1-8BF0-434158B51ADE}"/>
            </c:ext>
          </c:extLst>
        </c:ser>
        <c:ser>
          <c:idx val="6"/>
          <c:order val="6"/>
          <c:tx>
            <c:strRef>
              <c:f>'TAMAÑO DE LOCALIDADES'!$B$15</c:f>
              <c:strCache>
                <c:ptCount val="1"/>
                <c:pt idx="0">
                  <c:v>En localidades de 50,000 a 99,999 habitantes</c:v>
                </c:pt>
              </c:strCache>
            </c:strRef>
          </c:tx>
          <c:spPr>
            <a:solidFill>
              <a:srgbClr val="5959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LOCALIDADES'!$C$15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D1-4FA1-8BF0-434158B51ADE}"/>
            </c:ext>
          </c:extLst>
        </c:ser>
        <c:ser>
          <c:idx val="7"/>
          <c:order val="7"/>
          <c:tx>
            <c:strRef>
              <c:f>'TAMAÑO DE LOCALIDADES'!$B$16</c:f>
              <c:strCache>
                <c:ptCount val="1"/>
                <c:pt idx="0">
                  <c:v>En localidades de 100,000 y más habitantes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LOCALIDADES'!$C$16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D1-4FA1-8BF0-434158B51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9756264"/>
        <c:axId val="649752984"/>
      </c:barChart>
      <c:catAx>
        <c:axId val="649756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9752984"/>
        <c:crosses val="autoZero"/>
        <c:auto val="1"/>
        <c:lblAlgn val="ctr"/>
        <c:lblOffset val="100"/>
        <c:noMultiLvlLbl val="0"/>
      </c:catAx>
      <c:valAx>
        <c:axId val="64975298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4975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343878067873076E-2"/>
          <c:y val="0.78104198072325448"/>
          <c:w val="0.91807224754800387"/>
          <c:h val="0.194641902094760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1200" b="0" i="0" u="none" strike="noStrike" baseline="0">
                <a:effectLst/>
              </a:rPr>
              <a:t>Localidades por tamaño de p</a:t>
            </a:r>
            <a:r>
              <a:rPr lang="es-MX" sz="1200"/>
              <a:t>oblación.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LOCALIDADES'!$G$20</c:f>
              <c:strCache>
                <c:ptCount val="1"/>
                <c:pt idx="0">
                  <c:v>De 1 a 249 habitantes</c:v>
                </c:pt>
              </c:strCache>
            </c:strRef>
          </c:tx>
          <c:spPr>
            <a:solidFill>
              <a:srgbClr val="B09A5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LOCALIDADES'!$H$20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A-438B-9792-B430B403CA7F}"/>
            </c:ext>
          </c:extLst>
        </c:ser>
        <c:ser>
          <c:idx val="1"/>
          <c:order val="1"/>
          <c:tx>
            <c:strRef>
              <c:f>'TAMAÑO DE LOCALIDADES'!$G$21</c:f>
              <c:strCache>
                <c:ptCount val="1"/>
                <c:pt idx="0">
                  <c:v>De 250 a 499 habitantes</c:v>
                </c:pt>
              </c:strCache>
            </c:strRef>
          </c:tx>
          <c:spPr>
            <a:solidFill>
              <a:srgbClr val="62113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LOCALIDADES'!$H$21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A-438B-9792-B430B403CA7F}"/>
            </c:ext>
          </c:extLst>
        </c:ser>
        <c:ser>
          <c:idx val="2"/>
          <c:order val="2"/>
          <c:tx>
            <c:strRef>
              <c:f>'TAMAÑO DE LOCALIDADES'!$G$22</c:f>
              <c:strCache>
                <c:ptCount val="1"/>
                <c:pt idx="0">
                  <c:v>De 500 a 2,499 habitantes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LOCALIDADES'!$H$22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A-438B-9792-B430B403CA7F}"/>
            </c:ext>
          </c:extLst>
        </c:ser>
        <c:ser>
          <c:idx val="3"/>
          <c:order val="3"/>
          <c:tx>
            <c:strRef>
              <c:f>'TAMAÑO DE LOCALIDADES'!$G$23</c:f>
              <c:strCache>
                <c:ptCount val="1"/>
                <c:pt idx="0">
                  <c:v>De 2,500 a 4,999 habitantes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LOCALIDADES'!$H$23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5A-438B-9792-B430B403CA7F}"/>
            </c:ext>
          </c:extLst>
        </c:ser>
        <c:ser>
          <c:idx val="4"/>
          <c:order val="4"/>
          <c:tx>
            <c:strRef>
              <c:f>'TAMAÑO DE LOCALIDADES'!$G$24</c:f>
              <c:strCache>
                <c:ptCount val="1"/>
                <c:pt idx="0">
                  <c:v>De 5,000 a 9,999 habitantes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LOCALIDADES'!$H$24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5A-438B-9792-B430B403CA7F}"/>
            </c:ext>
          </c:extLst>
        </c:ser>
        <c:ser>
          <c:idx val="5"/>
          <c:order val="5"/>
          <c:tx>
            <c:strRef>
              <c:f>'TAMAÑO DE LOCALIDADES'!$G$25</c:f>
              <c:strCache>
                <c:ptCount val="1"/>
                <c:pt idx="0">
                  <c:v>De 10,000 a 49,999 habitantes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LOCALIDADES'!$H$25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5A-438B-9792-B430B403CA7F}"/>
            </c:ext>
          </c:extLst>
        </c:ser>
        <c:ser>
          <c:idx val="6"/>
          <c:order val="6"/>
          <c:tx>
            <c:strRef>
              <c:f>'TAMAÑO DE LOCALIDADES'!$G$26</c:f>
              <c:strCache>
                <c:ptCount val="1"/>
                <c:pt idx="0">
                  <c:v>De 50,000 a 99,999 habitantes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LOCALIDADES'!$H$26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5A-438B-9792-B430B403CA7F}"/>
            </c:ext>
          </c:extLst>
        </c:ser>
        <c:ser>
          <c:idx val="7"/>
          <c:order val="7"/>
          <c:tx>
            <c:strRef>
              <c:f>'TAMAÑO DE LOCALIDADES'!$G$27</c:f>
              <c:strCache>
                <c:ptCount val="1"/>
                <c:pt idx="0">
                  <c:v>De 100,000 y más habitantes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'TAMAÑO DE LOCALIDADES'!$H$27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5A-438B-9792-B430B403C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9756264"/>
        <c:axId val="649752984"/>
      </c:barChart>
      <c:catAx>
        <c:axId val="649756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9752984"/>
        <c:crosses val="autoZero"/>
        <c:auto val="1"/>
        <c:lblAlgn val="ctr"/>
        <c:lblOffset val="100"/>
        <c:noMultiLvlLbl val="0"/>
      </c:catAx>
      <c:valAx>
        <c:axId val="649752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975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343878067873076E-2"/>
          <c:y val="0.78104198072325448"/>
          <c:w val="0.91807224754800387"/>
          <c:h val="0.194641902094760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1050"/>
              <a:t>Porcentaje de población derechohabiente con alguna limitación. 2010</a:t>
            </a:r>
          </a:p>
        </c:rich>
      </c:tx>
      <c:layout>
        <c:manualLayout>
          <c:xMode val="edge"/>
          <c:yMode val="edge"/>
          <c:x val="0.14407574059058653"/>
          <c:y val="1.037923433941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560143396709563E-2"/>
          <c:y val="0.1396265466816648"/>
          <c:w val="0.91333332919748644"/>
          <c:h val="0.554159960774133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09A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15-4B09-A862-60989D2A2EEA}"/>
              </c:ext>
            </c:extLst>
          </c:dPt>
          <c:dPt>
            <c:idx val="1"/>
            <c:invertIfNegative val="0"/>
            <c:bubble3D val="0"/>
            <c:spPr>
              <a:solidFill>
                <a:srgbClr val="5959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15-4B09-A862-60989D2A2EEA}"/>
              </c:ext>
            </c:extLst>
          </c:dPt>
          <c:dPt>
            <c:idx val="2"/>
            <c:invertIfNegative val="0"/>
            <c:bubble3D val="0"/>
            <c:spPr>
              <a:solidFill>
                <a:srgbClr val="6211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15-4B09-A862-60989D2A2EEA}"/>
              </c:ext>
            </c:extLst>
          </c:dPt>
          <c:dPt>
            <c:idx val="3"/>
            <c:invertIfNegative val="0"/>
            <c:bubble3D val="0"/>
            <c:spPr>
              <a:solidFill>
                <a:srgbClr val="B09A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15-4B09-A862-60989D2A2EEA}"/>
              </c:ext>
            </c:extLst>
          </c:dPt>
          <c:dPt>
            <c:idx val="4"/>
            <c:invertIfNegative val="0"/>
            <c:bubble3D val="0"/>
            <c:spPr>
              <a:solidFill>
                <a:srgbClr val="5959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515-4B09-A862-60989D2A2EEA}"/>
              </c:ext>
            </c:extLst>
          </c:dPt>
          <c:dPt>
            <c:idx val="5"/>
            <c:invertIfNegative val="0"/>
            <c:bubble3D val="0"/>
            <c:spPr>
              <a:solidFill>
                <a:srgbClr val="6211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15-4B09-A862-60989D2A2EEA}"/>
              </c:ext>
            </c:extLst>
          </c:dPt>
          <c:dPt>
            <c:idx val="6"/>
            <c:invertIfNegative val="0"/>
            <c:bubble3D val="0"/>
            <c:spPr>
              <a:solidFill>
                <a:srgbClr val="B09A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15-4B09-A862-60989D2A2E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595959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DISCAPACIDAD!$K$9:$K$15</c:f>
              <c:strCache>
                <c:ptCount val="7"/>
                <c:pt idx="0">
                  <c:v>Caminar o moverse</c:v>
                </c:pt>
                <c:pt idx="1">
                  <c:v>Ver</c:v>
                </c:pt>
                <c:pt idx="2">
                  <c:v>Escuchar</c:v>
                </c:pt>
                <c:pt idx="3">
                  <c:v>Hablar o comunicarse</c:v>
                </c:pt>
                <c:pt idx="4">
                  <c:v>Atender el cuidado personal</c:v>
                </c:pt>
                <c:pt idx="5">
                  <c:v>Poner atención o aprender</c:v>
                </c:pt>
                <c:pt idx="6">
                  <c:v>Mental</c:v>
                </c:pt>
              </c:strCache>
            </c:strRef>
          </c:cat>
          <c:val>
            <c:numRef>
              <c:f>DISCAPACIDAD!$M$9:$M$15</c:f>
              <c:numCache>
                <c:formatCode>0.00%</c:formatCode>
                <c:ptCount val="7"/>
                <c:pt idx="0">
                  <c:v>0.33198380566801622</c:v>
                </c:pt>
                <c:pt idx="1">
                  <c:v>0.22469635627530365</c:v>
                </c:pt>
                <c:pt idx="2">
                  <c:v>0.1194331983805668</c:v>
                </c:pt>
                <c:pt idx="3">
                  <c:v>0.15182186234817813</c:v>
                </c:pt>
                <c:pt idx="4">
                  <c:v>8.7044534412955468E-2</c:v>
                </c:pt>
                <c:pt idx="5">
                  <c:v>1.417004048582996E-2</c:v>
                </c:pt>
                <c:pt idx="6">
                  <c:v>7.08502024291498E-2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1-4456-8C4B-4B3D27F59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42137064"/>
        <c:axId val="642138048"/>
      </c:barChart>
      <c:catAx>
        <c:axId val="64213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endParaRPr lang="en-US"/>
          </a:p>
        </c:txPr>
        <c:crossAx val="642138048"/>
        <c:crosses val="autoZero"/>
        <c:auto val="1"/>
        <c:lblAlgn val="ctr"/>
        <c:lblOffset val="100"/>
        <c:noMultiLvlLbl val="0"/>
      </c:catAx>
      <c:valAx>
        <c:axId val="64213804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64213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rgbClr val="595959"/>
          </a:solidFill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700"/>
              <a:t>Porcentaje de población por condición de analfabetismo.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8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787041791177152E-2"/>
          <c:y val="0.33227842519685041"/>
          <c:w val="0.97821299879887891"/>
          <c:h val="0.4485812073490813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5"/>
          <c:dPt>
            <c:idx val="0"/>
            <c:bubble3D val="0"/>
            <c:spPr>
              <a:solidFill>
                <a:srgbClr val="B09A5B"/>
              </a:solidFill>
              <a:ln w="25400">
                <a:noFill/>
              </a:ln>
              <a:effectLst/>
              <a:sp3d>
                <a:contourClr>
                  <a:srgbClr val="B09A5B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3C8-4E68-8BB0-F0D530C5D18F}"/>
              </c:ext>
            </c:extLst>
          </c:dPt>
          <c:dPt>
            <c:idx val="1"/>
            <c:bubble3D val="0"/>
            <c:spPr>
              <a:solidFill>
                <a:srgbClr val="621132"/>
              </a:solidFill>
              <a:ln w="25400">
                <a:noFill/>
              </a:ln>
              <a:effectLst/>
              <a:sp3d>
                <a:contourClr>
                  <a:srgbClr val="62113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3C8-4E68-8BB0-F0D530C5D18F}"/>
              </c:ext>
            </c:extLst>
          </c:dPt>
          <c:dLbls>
            <c:dLbl>
              <c:idx val="1"/>
              <c:layout>
                <c:manualLayout>
                  <c:x val="-0.16781929801147738"/>
                  <c:y val="4.9967874015748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Gotham Book" panose="02000604040000020004" pitchFamily="50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C8-4E68-8BB0-F0D530C5D1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EDUCACIÓN!$B$15:$B$16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EDUCACIÓN!$D$15:$D$16</c:f>
              <c:numCache>
                <c:formatCode>0.00%</c:formatCode>
                <c:ptCount val="2"/>
                <c:pt idx="0">
                  <c:v>0.38911022576361221</c:v>
                </c:pt>
                <c:pt idx="1">
                  <c:v>0.61088977423638779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C8-4E68-8BB0-F0D530C5D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497620000889719"/>
          <c:y val="0.84729616797900253"/>
          <c:w val="0.49874816495395702"/>
          <c:h val="0.152703832020997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1050"/>
              <a:t>Porcentaje de PEAO por sector de actividad.</a:t>
            </a:r>
            <a:r>
              <a:rPr lang="es-MX" sz="1050" baseline="0"/>
              <a:t> 2010</a:t>
            </a:r>
            <a:endParaRPr lang="es-MX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1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rgbClr val="B09A5B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53C-4240-9D98-AC5A21647655}"/>
              </c:ext>
            </c:extLst>
          </c:dPt>
          <c:dPt>
            <c:idx val="1"/>
            <c:bubble3D val="0"/>
            <c:spPr>
              <a:solidFill>
                <a:srgbClr val="595959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453C-4240-9D98-AC5A216476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7CE-43D4-B3BD-3B7F5DB12C4C}"/>
              </c:ext>
            </c:extLst>
          </c:dPt>
          <c:dPt>
            <c:idx val="3"/>
            <c:bubble3D val="0"/>
            <c:spPr>
              <a:solidFill>
                <a:srgbClr val="62113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453C-4240-9D98-AC5A216476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7CE-43D4-B3BD-3B7F5DB12C4C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453C-4240-9D98-AC5A2164765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7CE-43D4-B3BD-3B7F5DB12C4C}"/>
              </c:ext>
            </c:extLst>
          </c:dPt>
          <c:dPt>
            <c:idx val="7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453C-4240-9D98-AC5A2164765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57CE-43D4-B3BD-3B7F5DB12C4C}"/>
              </c:ext>
            </c:extLst>
          </c:dPt>
          <c:dLbls>
            <c:dLbl>
              <c:idx val="1"/>
              <c:layout>
                <c:manualLayout>
                  <c:x val="0.20689789350231377"/>
                  <c:y val="6.734065649201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3C-4240-9D98-AC5A21647655}"/>
                </c:ext>
              </c:extLst>
            </c:dLbl>
            <c:dLbl>
              <c:idx val="3"/>
              <c:layout>
                <c:manualLayout>
                  <c:x val="7.8478448628549094E-2"/>
                  <c:y val="3.6699718090794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3C-4240-9D98-AC5A21647655}"/>
                </c:ext>
              </c:extLst>
            </c:dLbl>
            <c:dLbl>
              <c:idx val="5"/>
              <c:layout>
                <c:manualLayout>
                  <c:x val="-2.26914440009819E-2"/>
                  <c:y val="5.9586533164836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53C-4240-9D98-AC5A21647655}"/>
                </c:ext>
              </c:extLst>
            </c:dLbl>
            <c:dLbl>
              <c:idx val="7"/>
              <c:layout>
                <c:manualLayout>
                  <c:x val="-5.93845062867637E-2"/>
                  <c:y val="-5.5741226791095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53C-4240-9D98-AC5A216476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621132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'ACT ECONÓMICA'!$B$23:$J$23</c:f>
              <c:strCache>
                <c:ptCount val="8"/>
                <c:pt idx="0">
                  <c:v>Primario</c:v>
                </c:pt>
                <c:pt idx="1">
                  <c:v>Secundario</c:v>
                </c:pt>
                <c:pt idx="3">
                  <c:v>Comercio</c:v>
                </c:pt>
                <c:pt idx="5">
                  <c:v>Servicios</c:v>
                </c:pt>
                <c:pt idx="7">
                  <c:v>No especificado</c:v>
                </c:pt>
              </c:strCache>
            </c:strRef>
          </c:cat>
          <c:val>
            <c:numRef>
              <c:f>'ACT ECONÓMICA'!$B$24:$J$24</c:f>
              <c:numCache>
                <c:formatCode>0.00</c:formatCode>
                <c:ptCount val="9"/>
                <c:pt idx="0">
                  <c:v>59.774109469999999</c:v>
                </c:pt>
                <c:pt idx="1">
                  <c:v>11.815812337000001</c:v>
                </c:pt>
                <c:pt idx="3">
                  <c:v>9.4483058209999999</c:v>
                </c:pt>
                <c:pt idx="5">
                  <c:v>18.744569939000002</c:v>
                </c:pt>
                <c:pt idx="7">
                  <c:v>0.2172024327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C-4240-9D98-AC5A21647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2.1108979662342136E-2"/>
          <c:y val="0.79007485175464176"/>
          <c:w val="0.96240015273699231"/>
          <c:h val="0.185233790220666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595959"/>
          </a:solidFill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900"/>
              <a:t>Porcentaje de PEAO por ingreso.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2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039799990917849E-2"/>
          <c:y val="0.29533079962229231"/>
          <c:w val="0.94507462858699798"/>
          <c:h val="0.45011815111127812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5"/>
          <c:dPt>
            <c:idx val="0"/>
            <c:bubble3D val="0"/>
            <c:spPr>
              <a:solidFill>
                <a:srgbClr val="B09A5B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7CF-4449-AEDF-9FCD69460397}"/>
              </c:ext>
            </c:extLst>
          </c:dPt>
          <c:dPt>
            <c:idx val="1"/>
            <c:bubble3D val="0"/>
            <c:spPr>
              <a:solidFill>
                <a:srgbClr val="62113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27CF-4449-AEDF-9FCD69460397}"/>
              </c:ext>
            </c:extLst>
          </c:dPt>
          <c:dPt>
            <c:idx val="2"/>
            <c:bubble3D val="0"/>
            <c:spPr>
              <a:solidFill>
                <a:srgbClr val="595959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27CF-4449-AEDF-9FCD69460397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7CF-4449-AEDF-9FCD69460397}"/>
              </c:ext>
            </c:extLst>
          </c:dPt>
          <c:dLbls>
            <c:dLbl>
              <c:idx val="1"/>
              <c:layout>
                <c:manualLayout>
                  <c:x val="5.4024404104241933E-2"/>
                  <c:y val="-6.3239031677651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CF-4449-AEDF-9FCD69460397}"/>
                </c:ext>
              </c:extLst>
            </c:dLbl>
            <c:dLbl>
              <c:idx val="2"/>
              <c:layout>
                <c:manualLayout>
                  <c:x val="1.1978096301002411E-2"/>
                  <c:y val="-7.649873392745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CF-4449-AEDF-9FCD69460397}"/>
                </c:ext>
              </c:extLst>
            </c:dLbl>
            <c:dLbl>
              <c:idx val="3"/>
              <c:layout>
                <c:manualLayout>
                  <c:x val="-6.3855729225861871E-2"/>
                  <c:y val="3.2790456772665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CF-4449-AEDF-9FCD694603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'ACT ECONÓMICA'!$N$20:$Q$20</c:f>
              <c:strCache>
                <c:ptCount val="4"/>
                <c:pt idx="0">
                  <c:v>Hasta 1 s.m.</c:v>
                </c:pt>
                <c:pt idx="1">
                  <c:v>Más de 1 a 2 s.m.</c:v>
                </c:pt>
                <c:pt idx="2">
                  <c:v>Más de 2 s.m.</c:v>
                </c:pt>
                <c:pt idx="3">
                  <c:v>No esp.</c:v>
                </c:pt>
              </c:strCache>
            </c:strRef>
          </c:cat>
          <c:val>
            <c:numRef>
              <c:f>'ACT ECONÓMICA'!$N$21:$Q$21</c:f>
              <c:numCache>
                <c:formatCode>0.00</c:formatCode>
                <c:ptCount val="4"/>
                <c:pt idx="0">
                  <c:v>53.844483058000002</c:v>
                </c:pt>
                <c:pt idx="1">
                  <c:v>27.324066030000001</c:v>
                </c:pt>
                <c:pt idx="2">
                  <c:v>13.488271069</c:v>
                </c:pt>
                <c:pt idx="3">
                  <c:v>5.3431798435999998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F-4449-AEDF-9FCD69460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185097780856417E-2"/>
          <c:y val="0.79765389006074328"/>
          <c:w val="0.98220691872270405"/>
          <c:h val="0.20234610993925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595959"/>
          </a:solidFill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700"/>
              <a:t>Porcentaje de población por condición de derechohabiencia.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8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787041791177152E-2"/>
          <c:y val="0.32553625605677849"/>
          <c:w val="0.97821293700406498"/>
          <c:h val="0.3379905117148462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5"/>
          <c:dPt>
            <c:idx val="0"/>
            <c:bubble3D val="0"/>
            <c:spPr>
              <a:solidFill>
                <a:srgbClr val="B09A5B"/>
              </a:solidFill>
              <a:ln w="25400">
                <a:noFill/>
              </a:ln>
              <a:effectLst/>
              <a:sp3d>
                <a:contourClr>
                  <a:srgbClr val="B09A5B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3AF-443A-8EE5-BE2C46F689E5}"/>
              </c:ext>
            </c:extLst>
          </c:dPt>
          <c:dPt>
            <c:idx val="1"/>
            <c:bubble3D val="0"/>
            <c:spPr>
              <a:solidFill>
                <a:srgbClr val="595959"/>
              </a:solidFill>
              <a:ln w="25400">
                <a:noFill/>
              </a:ln>
              <a:effectLst/>
              <a:sp3d>
                <a:contourClr>
                  <a:srgbClr val="595959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AF-443A-8EE5-BE2C46F689E5}"/>
              </c:ext>
            </c:extLst>
          </c:dPt>
          <c:dLbls>
            <c:dLbl>
              <c:idx val="0"/>
              <c:layout>
                <c:manualLayout>
                  <c:x val="-8.8189498272161895E-2"/>
                  <c:y val="6.466450303167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5419153982314"/>
                      <c:h val="9.14634146341463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3AF-443A-8EE5-BE2C46F689E5}"/>
                </c:ext>
              </c:extLst>
            </c:dLbl>
            <c:dLbl>
              <c:idx val="1"/>
              <c:layout>
                <c:manualLayout>
                  <c:x val="5.7540082369637084E-2"/>
                  <c:y val="-7.232942464531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F-443A-8EE5-BE2C46F689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(SALUD!$B$9,SALUD!$B$12,SALUD!$B$15)</c15:sqref>
                  </c15:fullRef>
                </c:ext>
              </c:extLst>
              <c:f>(SALUD!$B$9,SALUD!$B$12)</c:f>
              <c:strCache>
                <c:ptCount val="2"/>
                <c:pt idx="0">
                  <c:v>Derechohabiente</c:v>
                </c:pt>
                <c:pt idx="1">
                  <c:v>No derechohabiente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(SALUD!$D$9,SALUD!$D$12,SALUD!$D$15)</c15:sqref>
                  </c15:fullRef>
                </c:ext>
              </c:extLst>
              <c:f>(SALUD!$D$9,SALUD!$D$12)</c:f>
              <c:numCache>
                <c:formatCode>0.00%</c:formatCode>
                <c:ptCount val="2"/>
                <c:pt idx="0">
                  <c:v>0.62079219697870824</c:v>
                </c:pt>
                <c:pt idx="1">
                  <c:v>0.37795884382062567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A3AF-443A-8EE5-BE2C46F68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800"/>
              <a:t>Población</a:t>
            </a:r>
            <a:r>
              <a:rPr lang="es-MX" sz="800" baseline="0"/>
              <a:t> derechohabiente por institución. 2010</a:t>
            </a:r>
            <a:endParaRPr lang="es-MX" sz="800"/>
          </a:p>
        </c:rich>
      </c:tx>
      <c:layout>
        <c:manualLayout>
          <c:xMode val="edge"/>
          <c:yMode val="edge"/>
          <c:x val="0.14382791994750657"/>
          <c:y val="6.116207951070336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09A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056-46DE-BE92-68924B79766F}"/>
              </c:ext>
            </c:extLst>
          </c:dPt>
          <c:dPt>
            <c:idx val="1"/>
            <c:invertIfNegative val="0"/>
            <c:bubble3D val="0"/>
            <c:spPr>
              <a:solidFill>
                <a:srgbClr val="5959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056-46DE-BE92-68924B7976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056-46DE-BE92-68924B7976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056-46DE-BE92-68924B79766F}"/>
              </c:ext>
            </c:extLst>
          </c:dPt>
          <c:dPt>
            <c:idx val="4"/>
            <c:invertIfNegative val="0"/>
            <c:bubble3D val="0"/>
            <c:spPr>
              <a:solidFill>
                <a:srgbClr val="6211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56-46DE-BE92-68924B79766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056-46DE-BE92-68924B79766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6056-46DE-BE92-68924B7976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rgbClr val="595959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SALUD!$B$22:$B$28</c:f>
              <c:strCache>
                <c:ptCount val="7"/>
                <c:pt idx="0">
                  <c:v>IMSS</c:v>
                </c:pt>
                <c:pt idx="1">
                  <c:v>ISSSTE</c:v>
                </c:pt>
                <c:pt idx="2">
                  <c:v>ISSSTE Estatal</c:v>
                </c:pt>
                <c:pt idx="3">
                  <c:v>PEMEX, Defensa o Marina</c:v>
                </c:pt>
                <c:pt idx="4">
                  <c:v>Seguro popular o Nueva Generación</c:v>
                </c:pt>
                <c:pt idx="5">
                  <c:v>Institución privada</c:v>
                </c:pt>
                <c:pt idx="6">
                  <c:v>Otra institución</c:v>
                </c:pt>
              </c:strCache>
            </c:strRef>
          </c:cat>
          <c:val>
            <c:numRef>
              <c:f>SALUD!$C$22:$C$28</c:f>
              <c:numCache>
                <c:formatCode>#,##0</c:formatCode>
                <c:ptCount val="7"/>
                <c:pt idx="0">
                  <c:v>3301</c:v>
                </c:pt>
                <c:pt idx="1">
                  <c:v>220</c:v>
                </c:pt>
                <c:pt idx="2">
                  <c:v>45</c:v>
                </c:pt>
                <c:pt idx="3">
                  <c:v>11</c:v>
                </c:pt>
                <c:pt idx="4">
                  <c:v>7310</c:v>
                </c:pt>
                <c:pt idx="5">
                  <c:v>18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6-46DE-BE92-68924B79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0716320"/>
        <c:axId val="770714680"/>
      </c:barChart>
      <c:catAx>
        <c:axId val="77071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endParaRPr lang="en-US"/>
          </a:p>
        </c:txPr>
        <c:crossAx val="770714680"/>
        <c:crosses val="autoZero"/>
        <c:auto val="1"/>
        <c:lblAlgn val="ctr"/>
        <c:lblOffset val="100"/>
        <c:noMultiLvlLbl val="0"/>
      </c:catAx>
      <c:valAx>
        <c:axId val="77071468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7071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rgbClr val="595959"/>
          </a:solidFill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1000"/>
              <a:t>Porcentaje de viviendas por disponibilidad</a:t>
            </a:r>
            <a:r>
              <a:rPr lang="es-MX" sz="1000" baseline="0"/>
              <a:t> de servicios. 2010</a:t>
            </a:r>
            <a:endParaRPr lang="es-MX" sz="1000"/>
          </a:p>
        </c:rich>
      </c:tx>
      <c:layout>
        <c:manualLayout>
          <c:xMode val="edge"/>
          <c:yMode val="edge"/>
          <c:x val="0.13014238613699639"/>
          <c:y val="5.1995320421162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09A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63-411C-A4C6-A471B1301895}"/>
              </c:ext>
            </c:extLst>
          </c:dPt>
          <c:dPt>
            <c:idx val="1"/>
            <c:invertIfNegative val="0"/>
            <c:bubble3D val="0"/>
            <c:spPr>
              <a:solidFill>
                <a:srgbClr val="6211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63-411C-A4C6-A471B1301895}"/>
              </c:ext>
            </c:extLst>
          </c:dPt>
          <c:dPt>
            <c:idx val="2"/>
            <c:invertIfNegative val="0"/>
            <c:bubble3D val="0"/>
            <c:spPr>
              <a:solidFill>
                <a:srgbClr val="5959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63-411C-A4C6-A471B13018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VIVIENDAS'!$N$10:$N$12</c:f>
              <c:strCache>
                <c:ptCount val="3"/>
                <c:pt idx="0">
                  <c:v>Energía eléctrica</c:v>
                </c:pt>
                <c:pt idx="1">
                  <c:v>Agua entubada</c:v>
                </c:pt>
                <c:pt idx="2">
                  <c:v>Drenaje de red pública</c:v>
                </c:pt>
              </c:strCache>
            </c:strRef>
          </c:cat>
          <c:val>
            <c:numRef>
              <c:f>'SERVICIOS VIVIENDAS'!$P$10:$P$12</c:f>
              <c:numCache>
                <c:formatCode>0.00%</c:formatCode>
                <c:ptCount val="3"/>
                <c:pt idx="0">
                  <c:v>0.94474850143341149</c:v>
                </c:pt>
                <c:pt idx="1">
                  <c:v>0.84910086004691165</c:v>
                </c:pt>
                <c:pt idx="2">
                  <c:v>0.41125879593432368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863-411C-A4C6-A471B1301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0716320"/>
        <c:axId val="770714680"/>
      </c:barChart>
      <c:catAx>
        <c:axId val="77071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endParaRPr lang="en-US"/>
          </a:p>
        </c:txPr>
        <c:crossAx val="770714680"/>
        <c:crosses val="autoZero"/>
        <c:auto val="1"/>
        <c:lblAlgn val="ctr"/>
        <c:lblOffset val="100"/>
        <c:noMultiLvlLbl val="0"/>
      </c:catAx>
      <c:valAx>
        <c:axId val="7707146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77071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rgbClr val="595959"/>
          </a:solidFill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800"/>
              <a:t>Porcentaje de población por sexo. 2010</a:t>
            </a:r>
          </a:p>
        </c:rich>
      </c:tx>
      <c:layout>
        <c:manualLayout>
          <c:xMode val="edge"/>
          <c:yMode val="edge"/>
          <c:x val="0.15387485114161514"/>
          <c:y val="1.554607421842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300087489063885E-2"/>
          <c:y val="0.2807524536059976"/>
          <c:w val="0.8948739185379605"/>
          <c:h val="0.5329778675342872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595959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3A8-448D-8094-EB3A86C8EC7B}"/>
              </c:ext>
            </c:extLst>
          </c:dPt>
          <c:dPt>
            <c:idx val="1"/>
            <c:bubble3D val="0"/>
            <c:spPr>
              <a:solidFill>
                <a:srgbClr val="B09A5B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3A8-448D-8094-EB3A86C8EC7B}"/>
              </c:ext>
            </c:extLst>
          </c:dPt>
          <c:dLbls>
            <c:dLbl>
              <c:idx val="0"/>
              <c:layout>
                <c:manualLayout>
                  <c:x val="-5.0867397556166712E-2"/>
                  <c:y val="-7.6864788188397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A8-448D-8094-EB3A86C8EC7B}"/>
                </c:ext>
              </c:extLst>
            </c:dLbl>
            <c:dLbl>
              <c:idx val="1"/>
              <c:layout>
                <c:manualLayout>
                  <c:x val="-4.8196008991699003E-3"/>
                  <c:y val="3.21287505553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A8-448D-8094-EB3A86C8EC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621132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'POBLACIÓN TOTAL'!$B$17:$B$18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'POBLACIÓN TOTAL'!$D$17:$D$18</c:f>
              <c:numCache>
                <c:formatCode>0.00%</c:formatCode>
                <c:ptCount val="2"/>
                <c:pt idx="0">
                  <c:v>0.50172475318187226</c:v>
                </c:pt>
                <c:pt idx="1">
                  <c:v>0.49827524681812774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A8-448D-8094-EB3A86C8E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4977628361258E-2"/>
          <c:y val="0.85762917471767652"/>
          <c:w val="0.85678046879977265"/>
          <c:h val="0.1112786768454689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900"/>
              <a:t>Porcentaje de viviendas por disponibilidad</a:t>
            </a:r>
            <a:r>
              <a:rPr lang="es-MX" sz="900" baseline="0"/>
              <a:t> de TIC´s. 2010</a:t>
            </a:r>
            <a:endParaRPr lang="es-MX" sz="900"/>
          </a:p>
        </c:rich>
      </c:tx>
      <c:layout>
        <c:manualLayout>
          <c:xMode val="edge"/>
          <c:yMode val="edge"/>
          <c:x val="0.13014238613699639"/>
          <c:y val="5.1995320421162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09A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C2-4FD5-A043-1598EA2E374D}"/>
              </c:ext>
            </c:extLst>
          </c:dPt>
          <c:dPt>
            <c:idx val="1"/>
            <c:invertIfNegative val="0"/>
            <c:bubble3D val="0"/>
            <c:spPr>
              <a:solidFill>
                <a:srgbClr val="6211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C2-4FD5-A043-1598EA2E374D}"/>
              </c:ext>
            </c:extLst>
          </c:dPt>
          <c:dPt>
            <c:idx val="2"/>
            <c:invertIfNegative val="0"/>
            <c:bubble3D val="0"/>
            <c:spPr>
              <a:solidFill>
                <a:srgbClr val="5959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AC2-4FD5-A043-1598EA2E37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595959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('CALIDAD VIVIENDAS'!$B$23,'CALIDAD VIVIENDAS'!$B$25:$B$26)</c:f>
              <c:strCache>
                <c:ptCount val="3"/>
                <c:pt idx="0">
                  <c:v>Computadora</c:v>
                </c:pt>
                <c:pt idx="1">
                  <c:v>Teléfono celular</c:v>
                </c:pt>
                <c:pt idx="2">
                  <c:v>Internet</c:v>
                </c:pt>
              </c:strCache>
            </c:strRef>
          </c:cat>
          <c:val>
            <c:numRef>
              <c:f>('CALIDAD VIVIENDAS'!$D$23,'CALIDAD VIVIENDAS'!$D$25:$D$26)</c:f>
              <c:numCache>
                <c:formatCode>0.00%</c:formatCode>
                <c:ptCount val="3"/>
                <c:pt idx="0">
                  <c:v>4.0396142819911392E-2</c:v>
                </c:pt>
                <c:pt idx="1">
                  <c:v>0.40135522543653895</c:v>
                </c:pt>
                <c:pt idx="2">
                  <c:v>1.2770393536617148E-2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C2-4FD5-A043-1598EA2E3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0716320"/>
        <c:axId val="770714680"/>
      </c:barChart>
      <c:catAx>
        <c:axId val="77071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endParaRPr lang="en-US"/>
          </a:p>
        </c:txPr>
        <c:crossAx val="770714680"/>
        <c:crosses val="autoZero"/>
        <c:auto val="1"/>
        <c:lblAlgn val="ctr"/>
        <c:lblOffset val="100"/>
        <c:noMultiLvlLbl val="0"/>
      </c:catAx>
      <c:valAx>
        <c:axId val="7707146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77071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rgbClr val="595959"/>
          </a:solidFill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900"/>
              <a:t>Porcentaje de viviendas por material</a:t>
            </a:r>
            <a:r>
              <a:rPr lang="es-MX" sz="900" baseline="0"/>
              <a:t> del piso</a:t>
            </a:r>
            <a:r>
              <a:rPr lang="es-MX" sz="900"/>
              <a:t>.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362773553390174E-3"/>
          <c:y val="0.16780469299507711"/>
          <c:w val="0.99776372264466096"/>
          <c:h val="0.6234630980059966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9"/>
          <c:dPt>
            <c:idx val="0"/>
            <c:bubble3D val="0"/>
            <c:spPr>
              <a:solidFill>
                <a:srgbClr val="621132"/>
              </a:solidFill>
              <a:ln w="25400">
                <a:noFill/>
              </a:ln>
              <a:effectLst/>
              <a:sp3d>
                <a:contourClr>
                  <a:srgbClr val="62113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828-47BA-8E96-A6D787AD81B7}"/>
              </c:ext>
            </c:extLst>
          </c:dPt>
          <c:dPt>
            <c:idx val="1"/>
            <c:bubble3D val="0"/>
            <c:spPr>
              <a:solidFill>
                <a:srgbClr val="B09A5B"/>
              </a:solidFill>
              <a:ln w="25400">
                <a:noFill/>
              </a:ln>
              <a:effectLst/>
              <a:sp3d>
                <a:contourClr>
                  <a:srgbClr val="B09A5B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828-47BA-8E96-A6D787AD81B7}"/>
              </c:ext>
            </c:extLst>
          </c:dPt>
          <c:dPt>
            <c:idx val="2"/>
            <c:bubble3D val="0"/>
            <c:spPr>
              <a:solidFill>
                <a:srgbClr val="595959"/>
              </a:solidFill>
              <a:ln w="25400">
                <a:noFill/>
              </a:ln>
              <a:effectLst/>
              <a:sp3d>
                <a:contourClr>
                  <a:srgbClr val="595959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828-47BA-8E96-A6D787AD81B7}"/>
              </c:ext>
            </c:extLst>
          </c:dPt>
          <c:dPt>
            <c:idx val="3"/>
            <c:bubble3D val="0"/>
            <c:spPr>
              <a:solidFill>
                <a:srgbClr val="595959"/>
              </a:solidFill>
              <a:ln w="25400">
                <a:noFill/>
              </a:ln>
              <a:effectLst/>
              <a:sp3d>
                <a:contourClr>
                  <a:schemeClr val="accent4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828-47BA-8E96-A6D787AD81B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Gotham Book" panose="02000604040000020004" pitchFamily="50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828-47BA-8E96-A6D787AD81B7}"/>
                </c:ext>
              </c:extLst>
            </c:dLbl>
            <c:dLbl>
              <c:idx val="1"/>
              <c:layout>
                <c:manualLayout>
                  <c:x val="-1.24886989677713E-2"/>
                  <c:y val="0.226116607604272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28-47BA-8E96-A6D787AD81B7}"/>
                </c:ext>
              </c:extLst>
            </c:dLbl>
            <c:dLbl>
              <c:idx val="2"/>
              <c:layout>
                <c:manualLayout>
                  <c:x val="6.154205127562281E-2"/>
                  <c:y val="-0.14768696847002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28-47BA-8E96-A6D787AD81B7}"/>
                </c:ext>
              </c:extLst>
            </c:dLbl>
            <c:dLbl>
              <c:idx val="3"/>
              <c:layout>
                <c:manualLayout>
                  <c:x val="3.1321480197160814E-2"/>
                  <c:y val="-9.666867891358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7BA-8E96-A6D787AD81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'CALIDAD VIVIENDAS'!$B$11:$B$14</c:f>
              <c:strCache>
                <c:ptCount val="4"/>
                <c:pt idx="0">
                  <c:v>Tierra</c:v>
                </c:pt>
                <c:pt idx="1">
                  <c:v>Cemento o firme</c:v>
                </c:pt>
                <c:pt idx="2">
                  <c:v>Madera, mosaico u otro</c:v>
                </c:pt>
                <c:pt idx="3">
                  <c:v>No especificado</c:v>
                </c:pt>
              </c:strCache>
            </c:strRef>
          </c:cat>
          <c:val>
            <c:numRef>
              <c:f>'CALIDAD VIVIENDAS'!$D$11:$D$14</c:f>
              <c:numCache>
                <c:formatCode>0.00%</c:formatCode>
                <c:ptCount val="4"/>
                <c:pt idx="0">
                  <c:v>9.4605160281469897E-2</c:v>
                </c:pt>
                <c:pt idx="1">
                  <c:v>0.88167839457909825</c:v>
                </c:pt>
                <c:pt idx="2">
                  <c:v>2.006776127182695E-2</c:v>
                </c:pt>
                <c:pt idx="3">
                  <c:v>3.6486838676048996E-3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8-47BA-8E96-A6D787AD8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1000"/>
              <a:t>Porcentaje de viviendas por número de ocupantes. 2010</a:t>
            </a:r>
          </a:p>
        </c:rich>
      </c:tx>
      <c:layout>
        <c:manualLayout>
          <c:xMode val="edge"/>
          <c:yMode val="edge"/>
          <c:x val="0.11459145549731276"/>
          <c:y val="1.0379320660399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560253121315485E-2"/>
          <c:y val="0.2433726591124698"/>
          <c:w val="0.91333332919748644"/>
          <c:h val="0.443196165257661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09A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F1-459C-95D4-781A0C311140}"/>
              </c:ext>
            </c:extLst>
          </c:dPt>
          <c:dPt>
            <c:idx val="1"/>
            <c:invertIfNegative val="0"/>
            <c:bubble3D val="0"/>
            <c:spPr>
              <a:solidFill>
                <a:srgbClr val="6211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F1-459C-95D4-781A0C311140}"/>
              </c:ext>
            </c:extLst>
          </c:dPt>
          <c:dPt>
            <c:idx val="2"/>
            <c:invertIfNegative val="0"/>
            <c:bubble3D val="0"/>
            <c:spPr>
              <a:solidFill>
                <a:srgbClr val="5959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4F1-459C-95D4-781A0C311140}"/>
              </c:ext>
            </c:extLst>
          </c:dPt>
          <c:dPt>
            <c:idx val="3"/>
            <c:invertIfNegative val="0"/>
            <c:bubble3D val="0"/>
            <c:spPr>
              <a:solidFill>
                <a:srgbClr val="B09A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4F1-459C-95D4-781A0C311140}"/>
              </c:ext>
            </c:extLst>
          </c:dPt>
          <c:dPt>
            <c:idx val="4"/>
            <c:invertIfNegative val="0"/>
            <c:bubble3D val="0"/>
            <c:spPr>
              <a:solidFill>
                <a:srgbClr val="6211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4F1-459C-95D4-781A0C311140}"/>
              </c:ext>
            </c:extLst>
          </c:dPt>
          <c:dPt>
            <c:idx val="5"/>
            <c:invertIfNegative val="0"/>
            <c:bubble3D val="0"/>
            <c:spPr>
              <a:solidFill>
                <a:srgbClr val="5959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4F1-459C-95D4-781A0C311140}"/>
              </c:ext>
            </c:extLst>
          </c:dPt>
          <c:dPt>
            <c:idx val="6"/>
            <c:invertIfNegative val="0"/>
            <c:bubble3D val="0"/>
            <c:spPr>
              <a:solidFill>
                <a:srgbClr val="B09A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4F1-459C-95D4-781A0C311140}"/>
              </c:ext>
            </c:extLst>
          </c:dPt>
          <c:dPt>
            <c:idx val="7"/>
            <c:invertIfNegative val="0"/>
            <c:bubble3D val="0"/>
            <c:spPr>
              <a:solidFill>
                <a:srgbClr val="6211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74F1-459C-95D4-781A0C311140}"/>
              </c:ext>
            </c:extLst>
          </c:dPt>
          <c:dPt>
            <c:idx val="8"/>
            <c:invertIfNegative val="0"/>
            <c:bubble3D val="0"/>
            <c:spPr>
              <a:solidFill>
                <a:srgbClr val="5959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4F1-459C-95D4-781A0C311140}"/>
              </c:ext>
            </c:extLst>
          </c:dPt>
          <c:dLbls>
            <c:dLbl>
              <c:idx val="0"/>
              <c:layout>
                <c:manualLayout>
                  <c:x val="1.2636166299908297E-2"/>
                  <c:y val="2.5607067281729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F1-459C-95D4-781A0C311140}"/>
                </c:ext>
              </c:extLst>
            </c:dLbl>
            <c:dLbl>
              <c:idx val="1"/>
              <c:layout>
                <c:manualLayout>
                  <c:x val="1.6848221733211082E-2"/>
                  <c:y val="2.5607067281729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F1-459C-95D4-781A0C311140}"/>
                </c:ext>
              </c:extLst>
            </c:dLbl>
            <c:dLbl>
              <c:idx val="2"/>
              <c:layout>
                <c:manualLayout>
                  <c:x val="1.6848221733211061E-2"/>
                  <c:y val="2.5607067281729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F1-459C-95D4-781A0C311140}"/>
                </c:ext>
              </c:extLst>
            </c:dLbl>
            <c:dLbl>
              <c:idx val="3"/>
              <c:layout>
                <c:manualLayout>
                  <c:x val="2.5272332599816594E-2"/>
                  <c:y val="2.5607067281729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F1-459C-95D4-781A0C311140}"/>
                </c:ext>
              </c:extLst>
            </c:dLbl>
            <c:dLbl>
              <c:idx val="4"/>
              <c:layout>
                <c:manualLayout>
                  <c:x val="2.5272332599816517E-2"/>
                  <c:y val="2.1339222734774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F1-459C-95D4-781A0C311140}"/>
                </c:ext>
              </c:extLst>
            </c:dLbl>
            <c:dLbl>
              <c:idx val="5"/>
              <c:layout>
                <c:manualLayout>
                  <c:x val="2.5272332599816594E-2"/>
                  <c:y val="2.1339222734774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F1-459C-95D4-781A0C311140}"/>
                </c:ext>
              </c:extLst>
            </c:dLbl>
            <c:dLbl>
              <c:idx val="6"/>
              <c:layout>
                <c:manualLayout>
                  <c:x val="2.5272332599816517E-2"/>
                  <c:y val="2.5607067281729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F1-459C-95D4-781A0C311140}"/>
                </c:ext>
              </c:extLst>
            </c:dLbl>
            <c:dLbl>
              <c:idx val="7"/>
              <c:layout>
                <c:manualLayout>
                  <c:x val="4.2120554333027653E-3"/>
                  <c:y val="2.5607067281729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4F1-459C-95D4-781A0C311140}"/>
                </c:ext>
              </c:extLst>
            </c:dLbl>
            <c:dLbl>
              <c:idx val="8"/>
              <c:layout>
                <c:manualLayout>
                  <c:x val="2.1060277166513829E-2"/>
                  <c:y val="1.2803533640864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4F1-459C-95D4-781A0C311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7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595959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'ESPACIO VIVIENDAS'!$B$11:$B$19</c:f>
              <c:strCache>
                <c:ptCount val="9"/>
                <c:pt idx="0">
                  <c:v>1 ocupante</c:v>
                </c:pt>
                <c:pt idx="1">
                  <c:v>2 ocupantes</c:v>
                </c:pt>
                <c:pt idx="2">
                  <c:v>3 ocupantes</c:v>
                </c:pt>
                <c:pt idx="3">
                  <c:v>4 ocupantes</c:v>
                </c:pt>
                <c:pt idx="4">
                  <c:v>5 ocupantes</c:v>
                </c:pt>
                <c:pt idx="5">
                  <c:v>6 ocupantes</c:v>
                </c:pt>
                <c:pt idx="6">
                  <c:v>7 ocupantes</c:v>
                </c:pt>
                <c:pt idx="7">
                  <c:v>8 ocupantes</c:v>
                </c:pt>
                <c:pt idx="8">
                  <c:v>9 ocupantes y más</c:v>
                </c:pt>
              </c:strCache>
            </c:strRef>
          </c:cat>
          <c:val>
            <c:numRef>
              <c:f>'ESPACIO VIVIENDAS'!$D$11:$D$19</c:f>
              <c:numCache>
                <c:formatCode>0.00%</c:formatCode>
                <c:ptCount val="9"/>
                <c:pt idx="0">
                  <c:v>6.9064373208235608E-2</c:v>
                </c:pt>
                <c:pt idx="1">
                  <c:v>0.11884284597341674</c:v>
                </c:pt>
                <c:pt idx="2">
                  <c:v>0.17357310398749023</c:v>
                </c:pt>
                <c:pt idx="3">
                  <c:v>0.19468334636434714</c:v>
                </c:pt>
                <c:pt idx="4">
                  <c:v>0.1853010164190774</c:v>
                </c:pt>
                <c:pt idx="5">
                  <c:v>0.12327339066979411</c:v>
                </c:pt>
                <c:pt idx="6">
                  <c:v>5.8900182434193378E-2</c:v>
                </c:pt>
                <c:pt idx="7">
                  <c:v>3.5965598123534011E-2</c:v>
                </c:pt>
                <c:pt idx="8">
                  <c:v>4.0396142819911392E-2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F1-459C-95D4-781A0C311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42137064"/>
        <c:axId val="642138048"/>
      </c:barChart>
      <c:catAx>
        <c:axId val="64213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endParaRPr lang="en-US"/>
          </a:p>
        </c:txPr>
        <c:crossAx val="642138048"/>
        <c:crosses val="autoZero"/>
        <c:auto val="1"/>
        <c:lblAlgn val="ctr"/>
        <c:lblOffset val="100"/>
        <c:noMultiLvlLbl val="0"/>
      </c:catAx>
      <c:valAx>
        <c:axId val="64213804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64213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rgbClr val="595959"/>
          </a:solidFill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1000"/>
              <a:t>Porcentaje de viviendas por número de dormitorios. 2010</a:t>
            </a:r>
          </a:p>
        </c:rich>
      </c:tx>
      <c:layout>
        <c:manualLayout>
          <c:xMode val="edge"/>
          <c:yMode val="edge"/>
          <c:x val="0.14407574059058653"/>
          <c:y val="1.037923433941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560253121315485E-2"/>
          <c:y val="0.2433726591124698"/>
          <c:w val="0.91333332919748644"/>
          <c:h val="0.641486666131348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09A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4D-48FE-A929-A2A4C633688E}"/>
              </c:ext>
            </c:extLst>
          </c:dPt>
          <c:dPt>
            <c:idx val="1"/>
            <c:invertIfNegative val="0"/>
            <c:bubble3D val="0"/>
            <c:spPr>
              <a:solidFill>
                <a:srgbClr val="6211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4D-48FE-A929-A2A4C633688E}"/>
              </c:ext>
            </c:extLst>
          </c:dPt>
          <c:dPt>
            <c:idx val="2"/>
            <c:invertIfNegative val="0"/>
            <c:bubble3D val="0"/>
            <c:spPr>
              <a:solidFill>
                <a:srgbClr val="5959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4D-48FE-A929-A2A4C633688E}"/>
              </c:ext>
            </c:extLst>
          </c:dPt>
          <c:dPt>
            <c:idx val="3"/>
            <c:invertIfNegative val="0"/>
            <c:bubble3D val="0"/>
            <c:spPr>
              <a:solidFill>
                <a:srgbClr val="B09A5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4D-48FE-A929-A2A4C633688E}"/>
              </c:ext>
            </c:extLst>
          </c:dPt>
          <c:dPt>
            <c:idx val="4"/>
            <c:invertIfNegative val="0"/>
            <c:bubble3D val="0"/>
            <c:spPr>
              <a:solidFill>
                <a:srgbClr val="6211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F4D-48FE-A929-A2A4C63368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'ESPACIO VIVIENDAS'!$B$25:$B$29</c:f>
              <c:strCache>
                <c:ptCount val="5"/>
                <c:pt idx="0">
                  <c:v>1 dormitorio</c:v>
                </c:pt>
                <c:pt idx="1">
                  <c:v>2 dormitorios</c:v>
                </c:pt>
                <c:pt idx="2">
                  <c:v>3 dormitorios</c:v>
                </c:pt>
                <c:pt idx="3">
                  <c:v>4 dormitorios</c:v>
                </c:pt>
                <c:pt idx="4">
                  <c:v>5 dormitorios y más</c:v>
                </c:pt>
              </c:strCache>
            </c:strRef>
          </c:cat>
          <c:val>
            <c:numRef>
              <c:f>'ESPACIO VIVIENDAS'!$D$25:$D$29</c:f>
              <c:numCache>
                <c:formatCode>0.00%</c:formatCode>
                <c:ptCount val="5"/>
                <c:pt idx="0">
                  <c:v>0.51967683085744076</c:v>
                </c:pt>
                <c:pt idx="1">
                  <c:v>0.36512900703674744</c:v>
                </c:pt>
                <c:pt idx="2">
                  <c:v>9.06958561376075E-2</c:v>
                </c:pt>
                <c:pt idx="3">
                  <c:v>1.6679697680479541E-2</c:v>
                </c:pt>
                <c:pt idx="4">
                  <c:v>4.6911649726348714E-3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F4D-48FE-A929-A2A4C6336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42137064"/>
        <c:axId val="642138048"/>
      </c:barChart>
      <c:catAx>
        <c:axId val="64213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endParaRPr lang="en-US"/>
          </a:p>
        </c:txPr>
        <c:crossAx val="642138048"/>
        <c:crosses val="autoZero"/>
        <c:auto val="1"/>
        <c:lblAlgn val="ctr"/>
        <c:lblOffset val="100"/>
        <c:noMultiLvlLbl val="0"/>
      </c:catAx>
      <c:valAx>
        <c:axId val="64213804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64213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rgbClr val="595959"/>
          </a:solidFill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>
                <a:solidFill>
                  <a:srgbClr val="595959"/>
                </a:solidFill>
              </a:rPr>
              <a:t>Población total.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09A5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595959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'POBLACIÓN TOTAL'!$B$10:$B$11</c:f>
              <c:strCache>
                <c:ptCount val="2"/>
                <c:pt idx="0">
                  <c:v>2010</c:v>
                </c:pt>
                <c:pt idx="1">
                  <c:v>2000</c:v>
                </c:pt>
              </c:strCache>
            </c:strRef>
          </c:cat>
          <c:val>
            <c:numRef>
              <c:f>'POBLACIÓN TOTAL'!$C$10:$C$11</c:f>
              <c:numCache>
                <c:formatCode>#,##0</c:formatCode>
                <c:ptCount val="2"/>
                <c:pt idx="0">
                  <c:v>16814</c:v>
                </c:pt>
                <c:pt idx="1">
                  <c:v>14189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0-4BE0-B32F-116E8F431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137064"/>
        <c:axId val="642138048"/>
      </c:barChart>
      <c:catAx>
        <c:axId val="6421370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endParaRPr lang="en-US"/>
          </a:p>
        </c:txPr>
        <c:crossAx val="642138048"/>
        <c:crosses val="autoZero"/>
        <c:auto val="1"/>
        <c:lblAlgn val="ctr"/>
        <c:lblOffset val="100"/>
        <c:noMultiLvlLbl val="0"/>
      </c:catAx>
      <c:valAx>
        <c:axId val="642138048"/>
        <c:scaling>
          <c:orientation val="minMax"/>
        </c:scaling>
        <c:delete val="1"/>
        <c:axPos val="r"/>
        <c:numFmt formatCode="#,##0" sourceLinked="1"/>
        <c:majorTickMark val="none"/>
        <c:minorTickMark val="none"/>
        <c:tickLblPos val="nextTo"/>
        <c:crossAx val="64213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/>
              <a:t>Estructura de la población (habitantes).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'POBLACIÓN TOTAL'!$P$8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B09A5B"/>
            </a:solidFill>
            <a:ln w="9525" cap="flat" cmpd="sng" algn="ctr">
              <a:solidFill>
                <a:srgbClr val="B09A5B"/>
              </a:solidFill>
              <a:round/>
            </a:ln>
            <a:effectLst/>
          </c:spPr>
          <c:invertIfNegative val="0"/>
          <c:dLbls>
            <c:dLbl>
              <c:idx val="11"/>
              <c:layout>
                <c:manualLayout>
                  <c:x val="-6.9808027923211171E-3"/>
                  <c:y val="2.61714797252659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14-40E0-91A5-F0B78EE54748}"/>
                </c:ext>
              </c:extLst>
            </c:dLbl>
            <c:dLbl>
              <c:idx val="12"/>
              <c:layout>
                <c:manualLayout>
                  <c:x val="-1.3961605584642234E-2"/>
                  <c:y val="2.248112990420600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14-40E0-91A5-F0B78EE54748}"/>
                </c:ext>
              </c:extLst>
            </c:dLbl>
            <c:numFmt formatCode="#,##0.00;[Black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'POBLACIÓN TOTAL'!$O$9:$O$22</c:f>
              <c:strCache>
                <c:ptCount val="14"/>
                <c:pt idx="0">
                  <c:v>00-04 Años</c:v>
                </c:pt>
                <c:pt idx="1">
                  <c:v>05-09 Años</c:v>
                </c:pt>
                <c:pt idx="2">
                  <c:v>10-14 Años</c:v>
                </c:pt>
                <c:pt idx="3">
                  <c:v>15-19 Años</c:v>
                </c:pt>
                <c:pt idx="4">
                  <c:v>20-24 Años</c:v>
                </c:pt>
                <c:pt idx="5">
                  <c:v>25-29 Años</c:v>
                </c:pt>
                <c:pt idx="6">
                  <c:v>30-34 Años</c:v>
                </c:pt>
                <c:pt idx="7">
                  <c:v>35-39 Años</c:v>
                </c:pt>
                <c:pt idx="8">
                  <c:v>40-44 Años</c:v>
                </c:pt>
                <c:pt idx="9">
                  <c:v>45-49 Años</c:v>
                </c:pt>
                <c:pt idx="10">
                  <c:v>50-54 Años</c:v>
                </c:pt>
                <c:pt idx="11">
                  <c:v>55-59 Años</c:v>
                </c:pt>
                <c:pt idx="12">
                  <c:v>60-64 Años</c:v>
                </c:pt>
                <c:pt idx="13">
                  <c:v>65 y más años</c:v>
                </c:pt>
              </c:strCache>
            </c:strRef>
          </c:cat>
          <c:val>
            <c:numRef>
              <c:f>'POBLACIÓN TOTAL'!$P$9:$P$22</c:f>
              <c:numCache>
                <c:formatCode>#,##0</c:formatCode>
                <c:ptCount val="14"/>
                <c:pt idx="0">
                  <c:v>-999</c:v>
                </c:pt>
                <c:pt idx="1">
                  <c:v>-1000</c:v>
                </c:pt>
                <c:pt idx="2">
                  <c:v>-1053</c:v>
                </c:pt>
                <c:pt idx="3">
                  <c:v>-1044</c:v>
                </c:pt>
                <c:pt idx="4">
                  <c:v>-690</c:v>
                </c:pt>
                <c:pt idx="5">
                  <c:v>-548</c:v>
                </c:pt>
                <c:pt idx="6">
                  <c:v>-527</c:v>
                </c:pt>
                <c:pt idx="7">
                  <c:v>-489</c:v>
                </c:pt>
                <c:pt idx="8">
                  <c:v>-407</c:v>
                </c:pt>
                <c:pt idx="9">
                  <c:v>-341</c:v>
                </c:pt>
                <c:pt idx="10">
                  <c:v>-297</c:v>
                </c:pt>
                <c:pt idx="11">
                  <c:v>-278</c:v>
                </c:pt>
                <c:pt idx="12">
                  <c:v>-256</c:v>
                </c:pt>
                <c:pt idx="13">
                  <c:v>-506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4-40E0-91A5-F0B78EE54748}"/>
            </c:ext>
          </c:extLst>
        </c:ser>
        <c:ser>
          <c:idx val="1"/>
          <c:order val="1"/>
          <c:tx>
            <c:strRef>
              <c:f>'POBLACIÓN TOTAL'!$Q$8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621132"/>
            </a:solidFill>
            <a:ln w="9525" cap="flat" cmpd="sng" algn="ctr">
              <a:solidFill>
                <a:srgbClr val="621132"/>
              </a:solidFill>
              <a:round/>
            </a:ln>
            <a:effectLst/>
          </c:spPr>
          <c:invertIfNegative val="0"/>
          <c:dLbls>
            <c:dLbl>
              <c:idx val="12"/>
              <c:layout>
                <c:manualLayout>
                  <c:x val="1.16346713205351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14-40E0-91A5-F0B78EE547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'POBLACIÓN TOTAL'!$O$9:$O$22</c:f>
              <c:strCache>
                <c:ptCount val="14"/>
                <c:pt idx="0">
                  <c:v>00-04 Años</c:v>
                </c:pt>
                <c:pt idx="1">
                  <c:v>05-09 Años</c:v>
                </c:pt>
                <c:pt idx="2">
                  <c:v>10-14 Años</c:v>
                </c:pt>
                <c:pt idx="3">
                  <c:v>15-19 Años</c:v>
                </c:pt>
                <c:pt idx="4">
                  <c:v>20-24 Años</c:v>
                </c:pt>
                <c:pt idx="5">
                  <c:v>25-29 Años</c:v>
                </c:pt>
                <c:pt idx="6">
                  <c:v>30-34 Años</c:v>
                </c:pt>
                <c:pt idx="7">
                  <c:v>35-39 Años</c:v>
                </c:pt>
                <c:pt idx="8">
                  <c:v>40-44 Años</c:v>
                </c:pt>
                <c:pt idx="9">
                  <c:v>45-49 Años</c:v>
                </c:pt>
                <c:pt idx="10">
                  <c:v>50-54 Años</c:v>
                </c:pt>
                <c:pt idx="11">
                  <c:v>55-59 Años</c:v>
                </c:pt>
                <c:pt idx="12">
                  <c:v>60-64 Años</c:v>
                </c:pt>
                <c:pt idx="13">
                  <c:v>65 y más años</c:v>
                </c:pt>
              </c:strCache>
            </c:strRef>
          </c:cat>
          <c:val>
            <c:numRef>
              <c:f>'POBLACIÓN TOTAL'!$Q$9:$Q$22</c:f>
              <c:numCache>
                <c:formatCode>#,##0</c:formatCode>
                <c:ptCount val="14"/>
                <c:pt idx="0">
                  <c:v>988</c:v>
                </c:pt>
                <c:pt idx="1">
                  <c:v>933</c:v>
                </c:pt>
                <c:pt idx="2">
                  <c:v>1008</c:v>
                </c:pt>
                <c:pt idx="3">
                  <c:v>1025</c:v>
                </c:pt>
                <c:pt idx="4">
                  <c:v>736</c:v>
                </c:pt>
                <c:pt idx="5">
                  <c:v>634</c:v>
                </c:pt>
                <c:pt idx="6">
                  <c:v>566</c:v>
                </c:pt>
                <c:pt idx="7">
                  <c:v>526</c:v>
                </c:pt>
                <c:pt idx="8">
                  <c:v>431</c:v>
                </c:pt>
                <c:pt idx="9">
                  <c:v>370</c:v>
                </c:pt>
                <c:pt idx="10">
                  <c:v>299</c:v>
                </c:pt>
                <c:pt idx="11">
                  <c:v>264</c:v>
                </c:pt>
                <c:pt idx="12">
                  <c:v>188</c:v>
                </c:pt>
                <c:pt idx="13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14-40E0-91A5-F0B78EE547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763012552"/>
        <c:axId val="763013536"/>
      </c:barChart>
      <c:catAx>
        <c:axId val="763012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endParaRPr lang="en-US"/>
          </a:p>
        </c:txPr>
        <c:crossAx val="763013536"/>
        <c:crosses val="autoZero"/>
        <c:auto val="1"/>
        <c:lblAlgn val="ctr"/>
        <c:lblOffset val="100"/>
        <c:noMultiLvlLbl val="0"/>
      </c:catAx>
      <c:valAx>
        <c:axId val="763013536"/>
        <c:scaling>
          <c:orientation val="minMax"/>
        </c:scaling>
        <c:delete val="0"/>
        <c:axPos val="b"/>
        <c:numFmt formatCode="#,##0;[Black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endParaRPr lang="en-US"/>
          </a:p>
        </c:txPr>
        <c:crossAx val="763012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900">
                <a:solidFill>
                  <a:srgbClr val="595959"/>
                </a:solidFill>
              </a:rPr>
              <a:t>Población de 3 años y más hablante de lengua indígena.</a:t>
            </a:r>
          </a:p>
        </c:rich>
      </c:tx>
      <c:layout>
        <c:manualLayout>
          <c:xMode val="edge"/>
          <c:yMode val="edge"/>
          <c:x val="0.14407574059058653"/>
          <c:y val="1.037923433941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333335401256758E-2"/>
          <c:y val="0.39025921116184498"/>
          <c:w val="0.91333332919748644"/>
          <c:h val="0.4222918166683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09A5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595959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'POBLACIÓN INDÍGENA'!$N$9:$N$10</c:f>
              <c:strCache>
                <c:ptCount val="2"/>
                <c:pt idx="0">
                  <c:v>2000</c:v>
                </c:pt>
                <c:pt idx="1">
                  <c:v>2010</c:v>
                </c:pt>
              </c:strCache>
            </c:strRef>
          </c:cat>
          <c:val>
            <c:numRef>
              <c:f>'POBLACIÓN INDÍGENA'!$O$9:$O$10</c:f>
              <c:numCache>
                <c:formatCode>#,##0</c:formatCode>
                <c:ptCount val="2"/>
                <c:pt idx="0">
                  <c:v>58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1-44F0-A25B-6D23BAE2D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137064"/>
        <c:axId val="642138048"/>
      </c:barChart>
      <c:catAx>
        <c:axId val="64213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endParaRPr lang="en-US"/>
          </a:p>
        </c:txPr>
        <c:crossAx val="642138048"/>
        <c:crosses val="autoZero"/>
        <c:auto val="1"/>
        <c:lblAlgn val="ctr"/>
        <c:lblOffset val="100"/>
        <c:noMultiLvlLbl val="0"/>
      </c:catAx>
      <c:valAx>
        <c:axId val="6421380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4213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800"/>
              <a:t>Porcentaje de población por tipo de localidad. 2010</a:t>
            </a:r>
          </a:p>
        </c:rich>
      </c:tx>
      <c:layout>
        <c:manualLayout>
          <c:xMode val="edge"/>
          <c:yMode val="edge"/>
          <c:x val="0.15387485114161514"/>
          <c:y val="1.554607421842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037749435830639E-2"/>
          <c:y val="0.32156693069145553"/>
          <c:w val="0.88353075245070034"/>
          <c:h val="0.5392091999463603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595959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B2E-4A40-A943-2924DC33BFA3}"/>
              </c:ext>
            </c:extLst>
          </c:dPt>
          <c:dPt>
            <c:idx val="1"/>
            <c:bubble3D val="0"/>
            <c:spPr>
              <a:solidFill>
                <a:srgbClr val="B09A5B"/>
              </a:solidFill>
              <a:ln w="25400">
                <a:noFill/>
              </a:ln>
              <a:effectLst/>
              <a:sp3d>
                <a:contourClr>
                  <a:srgbClr val="B09A5B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2E-4A40-A943-2924DC33BFA3}"/>
              </c:ext>
            </c:extLst>
          </c:dPt>
          <c:dLbls>
            <c:dLbl>
              <c:idx val="0"/>
              <c:layout>
                <c:manualLayout>
                  <c:x val="-0.20007095430790409"/>
                  <c:y val="-0.25594722566525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2E-4A40-A943-2924DC33BFA3}"/>
                </c:ext>
              </c:extLst>
            </c:dLbl>
            <c:dLbl>
              <c:idx val="1"/>
              <c:layout>
                <c:manualLayout>
                  <c:x val="0.17761891845624353"/>
                  <c:y val="-4.8683197665932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2E-4A40-A943-2924DC33BF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621132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'POBLACIÓN INDÍGENA'!$G$13:$G$14</c:f>
              <c:strCache>
                <c:ptCount val="2"/>
                <c:pt idx="0">
                  <c:v>Urbana</c:v>
                </c:pt>
                <c:pt idx="1">
                  <c:v>Rural</c:v>
                </c:pt>
              </c:strCache>
            </c:strRef>
          </c:cat>
          <c:val>
            <c:numRef>
              <c:f>'POBLACIÓN INDÍGENA'!$I$13:$I$14</c:f>
              <c:numCache>
                <c:formatCode>0.00%</c:formatCode>
                <c:ptCount val="2"/>
                <c:pt idx="0">
                  <c:v>0.37931034482758619</c:v>
                </c:pt>
                <c:pt idx="1">
                  <c:v>0.62068965517241381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2E-4A40-A943-2924DC33B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4977628361258E-2"/>
          <c:y val="0.85762917471767652"/>
          <c:w val="0.85678046879977265"/>
          <c:h val="0.1112786768454689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2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1100"/>
              <a:t>Estructura de la población hablante de lengua indígena (habitantes).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2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758761964853951"/>
          <c:y val="0.14914558762664787"/>
          <c:w val="0.72814303330832608"/>
          <c:h val="0.723546497679404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'POBLACIÓN INDÍGENA'!$R$8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B09A5B"/>
            </a:solidFill>
            <a:ln w="9525" cap="flat" cmpd="sng" algn="ctr">
              <a:solidFill>
                <a:srgbClr val="B09A5B"/>
              </a:solidFill>
              <a:round/>
            </a:ln>
            <a:effectLst/>
          </c:spPr>
          <c:invertIfNegative val="0"/>
          <c:dLbls>
            <c:numFmt formatCode="#,##0.00;[Black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595959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'POBLACIÓN INDÍGENA'!$Q$9:$Q$22</c:f>
              <c:strCache>
                <c:ptCount val="14"/>
                <c:pt idx="0">
                  <c:v>03-04 Años</c:v>
                </c:pt>
                <c:pt idx="1">
                  <c:v>05-09 Años</c:v>
                </c:pt>
                <c:pt idx="2">
                  <c:v>10-14 Años</c:v>
                </c:pt>
                <c:pt idx="3">
                  <c:v>15-19 Años</c:v>
                </c:pt>
                <c:pt idx="4">
                  <c:v>20-24 Años</c:v>
                </c:pt>
                <c:pt idx="5">
                  <c:v>25-29 Años</c:v>
                </c:pt>
                <c:pt idx="6">
                  <c:v>30-34 Años</c:v>
                </c:pt>
                <c:pt idx="7">
                  <c:v>35-39 Años</c:v>
                </c:pt>
                <c:pt idx="8">
                  <c:v>40-44 Años</c:v>
                </c:pt>
                <c:pt idx="9">
                  <c:v>45-49 Años</c:v>
                </c:pt>
                <c:pt idx="10">
                  <c:v>50-54 Años</c:v>
                </c:pt>
                <c:pt idx="11">
                  <c:v>55-59 Años</c:v>
                </c:pt>
                <c:pt idx="12">
                  <c:v>60-64 Años</c:v>
                </c:pt>
                <c:pt idx="13">
                  <c:v>65 y más años</c:v>
                </c:pt>
              </c:strCache>
            </c:strRef>
          </c:cat>
          <c:val>
            <c:numRef>
              <c:f>'POBLACIÓN INDÍGENA'!$R$9:$R$22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-2</c:v>
                </c:pt>
                <c:pt idx="8">
                  <c:v>-2</c:v>
                </c:pt>
                <c:pt idx="9">
                  <c:v>-1</c:v>
                </c:pt>
                <c:pt idx="10">
                  <c:v>-2</c:v>
                </c:pt>
                <c:pt idx="11">
                  <c:v>-4</c:v>
                </c:pt>
                <c:pt idx="12">
                  <c:v>-2</c:v>
                </c:pt>
                <c:pt idx="13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17-48ED-AF67-F5BFCAD9C371}"/>
            </c:ext>
          </c:extLst>
        </c:ser>
        <c:ser>
          <c:idx val="1"/>
          <c:order val="1"/>
          <c:tx>
            <c:strRef>
              <c:f>'POBLACIÓN INDÍGENA'!$S$8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621132"/>
            </a:solidFill>
            <a:ln w="9525" cap="flat" cmpd="sng" algn="ctr">
              <a:solidFill>
                <a:srgbClr val="62113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595959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'POBLACIÓN INDÍGENA'!$Q$9:$Q$22</c:f>
              <c:strCache>
                <c:ptCount val="14"/>
                <c:pt idx="0">
                  <c:v>03-04 Años</c:v>
                </c:pt>
                <c:pt idx="1">
                  <c:v>05-09 Años</c:v>
                </c:pt>
                <c:pt idx="2">
                  <c:v>10-14 Años</c:v>
                </c:pt>
                <c:pt idx="3">
                  <c:v>15-19 Años</c:v>
                </c:pt>
                <c:pt idx="4">
                  <c:v>20-24 Años</c:v>
                </c:pt>
                <c:pt idx="5">
                  <c:v>25-29 Años</c:v>
                </c:pt>
                <c:pt idx="6">
                  <c:v>30-34 Años</c:v>
                </c:pt>
                <c:pt idx="7">
                  <c:v>35-39 Años</c:v>
                </c:pt>
                <c:pt idx="8">
                  <c:v>40-44 Años</c:v>
                </c:pt>
                <c:pt idx="9">
                  <c:v>45-49 Años</c:v>
                </c:pt>
                <c:pt idx="10">
                  <c:v>50-54 Años</c:v>
                </c:pt>
                <c:pt idx="11">
                  <c:v>55-59 Años</c:v>
                </c:pt>
                <c:pt idx="12">
                  <c:v>60-64 Años</c:v>
                </c:pt>
                <c:pt idx="13">
                  <c:v>65 y más años</c:v>
                </c:pt>
              </c:strCache>
            </c:strRef>
          </c:cat>
          <c:val>
            <c:numRef>
              <c:f>'POBLACIÓN INDÍGENA'!$S$9:$S$22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17-48ED-AF67-F5BFCAD9C3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763012552"/>
        <c:axId val="763013536"/>
      </c:barChart>
      <c:catAx>
        <c:axId val="763012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endParaRPr lang="en-US"/>
          </a:p>
        </c:txPr>
        <c:crossAx val="763013536"/>
        <c:crosses val="autoZero"/>
        <c:auto val="1"/>
        <c:lblAlgn val="ctr"/>
        <c:lblOffset val="100"/>
        <c:noMultiLvlLbl val="0"/>
      </c:catAx>
      <c:valAx>
        <c:axId val="763013536"/>
        <c:scaling>
          <c:orientation val="minMax"/>
        </c:scaling>
        <c:delete val="0"/>
        <c:axPos val="b"/>
        <c:numFmt formatCode="#,##0;[Black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endParaRPr lang="en-US"/>
          </a:p>
        </c:txPr>
        <c:crossAx val="763012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rgbClr val="595959"/>
          </a:solidFill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1100"/>
              <a:t>Población de 3 años y más hablante de lengua indígena por sexo y condición de habla español. 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rgbClr val="595959"/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09A5B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6211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62F-4D27-8DFB-E83471713975}"/>
              </c:ext>
            </c:extLst>
          </c:dPt>
          <c:dPt>
            <c:idx val="4"/>
            <c:invertIfNegative val="0"/>
            <c:bubble3D val="0"/>
            <c:spPr>
              <a:solidFill>
                <a:srgbClr val="6211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2F-4D27-8DFB-E83471713975}"/>
              </c:ext>
            </c:extLst>
          </c:dPt>
          <c:dPt>
            <c:idx val="5"/>
            <c:invertIfNegative val="0"/>
            <c:bubble3D val="0"/>
            <c:spPr>
              <a:solidFill>
                <a:srgbClr val="6211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2F-4D27-8DFB-E834717139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'POBLACIÓN INDÍGENA'!$N$15:$N$20</c:f>
              <c:strCache>
                <c:ptCount val="6"/>
                <c:pt idx="0">
                  <c:v>Hablan español</c:v>
                </c:pt>
                <c:pt idx="1">
                  <c:v>Hombres que hablan español</c:v>
                </c:pt>
                <c:pt idx="2">
                  <c:v>Mujeres que hablan español</c:v>
                </c:pt>
                <c:pt idx="3">
                  <c:v>No hablan español</c:v>
                </c:pt>
                <c:pt idx="4">
                  <c:v>Hombres que no hablan español</c:v>
                </c:pt>
                <c:pt idx="5">
                  <c:v>Mujeres que no hablan español</c:v>
                </c:pt>
              </c:strCache>
            </c:strRef>
          </c:cat>
          <c:val>
            <c:numRef>
              <c:f>'POBLACIÓN INDÍGENA'!$P$15:$P$20</c:f>
              <c:numCache>
                <c:formatCode>0.00%</c:formatCode>
                <c:ptCount val="6"/>
                <c:pt idx="0">
                  <c:v>0.89655172413793105</c:v>
                </c:pt>
                <c:pt idx="1">
                  <c:v>0.73076923076923073</c:v>
                </c:pt>
                <c:pt idx="2">
                  <c:v>0.26923076923076922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F-4D27-8DFB-E83471713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903824"/>
        <c:axId val="646904152"/>
      </c:barChart>
      <c:catAx>
        <c:axId val="64690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endParaRPr lang="en-US"/>
          </a:p>
        </c:txPr>
        <c:crossAx val="646904152"/>
        <c:crosses val="autoZero"/>
        <c:auto val="1"/>
        <c:lblAlgn val="ctr"/>
        <c:lblOffset val="100"/>
        <c:noMultiLvlLbl val="0"/>
      </c:catAx>
      <c:valAx>
        <c:axId val="64690415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64690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595959"/>
          </a:solidFill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Book" panose="02000604040000020004" pitchFamily="50" charset="0"/>
                <a:ea typeface="+mn-ea"/>
                <a:cs typeface="+mn-cs"/>
              </a:defRPr>
            </a:pPr>
            <a:r>
              <a:rPr lang="es-MX" sz="900"/>
              <a:t>Porcentaje de hogares por sexo del jefe. 2010</a:t>
            </a:r>
          </a:p>
        </c:rich>
      </c:tx>
      <c:layout>
        <c:manualLayout>
          <c:xMode val="edge"/>
          <c:yMode val="edge"/>
          <c:x val="0.15387485114161514"/>
          <c:y val="1.554607421842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0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037749435830639E-2"/>
          <c:y val="0.32156693069145553"/>
          <c:w val="0.88353075245070034"/>
          <c:h val="0.539209199946360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5"/>
          <c:dPt>
            <c:idx val="0"/>
            <c:bubble3D val="0"/>
            <c:spPr>
              <a:solidFill>
                <a:srgbClr val="595959"/>
              </a:solidFill>
              <a:ln w="25400">
                <a:noFill/>
              </a:ln>
              <a:effectLst/>
              <a:sp3d>
                <a:contourClr>
                  <a:srgbClr val="595959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1F1-4606-BB2B-F2948CE42B6C}"/>
              </c:ext>
            </c:extLst>
          </c:dPt>
          <c:dPt>
            <c:idx val="1"/>
            <c:bubble3D val="0"/>
            <c:spPr>
              <a:solidFill>
                <a:srgbClr val="B09A5B"/>
              </a:solidFill>
              <a:ln w="25400">
                <a:noFill/>
              </a:ln>
              <a:effectLst/>
              <a:sp3d>
                <a:contourClr>
                  <a:srgbClr val="B09A5B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1F1-4606-BB2B-F2948CE42B6C}"/>
              </c:ext>
            </c:extLst>
          </c:dPt>
          <c:dLbls>
            <c:dLbl>
              <c:idx val="0"/>
              <c:layout>
                <c:manualLayout>
                  <c:x val="2.6360153256704981E-2"/>
                  <c:y val="5.21296680020260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F1-4606-BB2B-F2948CE42B6C}"/>
                </c:ext>
              </c:extLst>
            </c:dLbl>
            <c:dLbl>
              <c:idx val="1"/>
              <c:layout>
                <c:manualLayout>
                  <c:x val="-0.14658038434850815"/>
                  <c:y val="0.152300501910945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F1-4606-BB2B-F2948CE42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621132"/>
                    </a:solidFill>
                    <a:latin typeface="Gotham Book" panose="02000604040000020004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HOGARES!$B$10:$B$11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HOGARES!$D$10:$D$11</c:f>
              <c:numCache>
                <c:formatCode>0.00%</c:formatCode>
                <c:ptCount val="2"/>
                <c:pt idx="0">
                  <c:v>0.18368942157373633</c:v>
                </c:pt>
                <c:pt idx="1">
                  <c:v>0.81631057842626364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F1-4606-BB2B-F2948CE42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4977628361258E-2"/>
          <c:y val="0.85762917471767652"/>
          <c:w val="0.85678046879977265"/>
          <c:h val="0.1112786768454689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otham Book" panose="02000604040000020004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latin typeface="Gotham Book" panose="02000604040000020004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199934</xdr:colOff>
      <xdr:row>1</xdr:row>
      <xdr:rowOff>57920</xdr:rowOff>
    </xdr:from>
    <xdr:to>
      <xdr:col>11</xdr:col>
      <xdr:colOff>634713</xdr:colOff>
      <xdr:row>3</xdr:row>
      <xdr:rowOff>36410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BE6855-EEE5-4AD2-977F-5DB28C56B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9934" y="248420"/>
          <a:ext cx="1196779" cy="359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0</xdr:row>
      <xdr:rowOff>85725</xdr:rowOff>
    </xdr:from>
    <xdr:to>
      <xdr:col>3</xdr:col>
      <xdr:colOff>487238</xdr:colOff>
      <xdr:row>4</xdr:row>
      <xdr:rowOff>8606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26A4EFBC-8074-4D7B-A613-238D5B090D5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5725"/>
          <a:ext cx="1363538" cy="684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518537</xdr:colOff>
      <xdr:row>1</xdr:row>
      <xdr:rowOff>4075</xdr:rowOff>
    </xdr:from>
    <xdr:to>
      <xdr:col>9</xdr:col>
      <xdr:colOff>675020</xdr:colOff>
      <xdr:row>2</xdr:row>
      <xdr:rowOff>104043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72337EC-E121-44BF-8AB5-77CC09CD4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3320" y="252553"/>
          <a:ext cx="1191810" cy="34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1363538</xdr:colOff>
      <xdr:row>2</xdr:row>
      <xdr:rowOff>176881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52409061-AB1A-4D7A-A8E9-9CBBC8762D1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0" y="0"/>
          <a:ext cx="1363538" cy="673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8283</xdr:colOff>
      <xdr:row>6</xdr:row>
      <xdr:rowOff>190500</xdr:rowOff>
    </xdr:from>
    <xdr:to>
      <xdr:col>6</xdr:col>
      <xdr:colOff>134179</xdr:colOff>
      <xdr:row>12</xdr:row>
      <xdr:rowOff>289892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603470</xdr:colOff>
      <xdr:row>1</xdr:row>
      <xdr:rowOff>10392</xdr:rowOff>
    </xdr:from>
    <xdr:to>
      <xdr:col>10</xdr:col>
      <xdr:colOff>510775</xdr:colOff>
      <xdr:row>2</xdr:row>
      <xdr:rowOff>116678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387265-B8C1-4CA2-B723-502C19329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0504" y="252553"/>
          <a:ext cx="1191810" cy="34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88157</xdr:colOff>
      <xdr:row>2</xdr:row>
      <xdr:rowOff>189516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EE99045A-7F98-440A-B8DA-9EEADCBFD63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314" y="0"/>
          <a:ext cx="1363538" cy="673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24848</xdr:colOff>
      <xdr:row>15</xdr:row>
      <xdr:rowOff>8282</xdr:rowOff>
    </xdr:from>
    <xdr:to>
      <xdr:col>6</xdr:col>
      <xdr:colOff>513521</xdr:colOff>
      <xdr:row>26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49697</xdr:colOff>
      <xdr:row>7</xdr:row>
      <xdr:rowOff>8281</xdr:rowOff>
    </xdr:from>
    <xdr:to>
      <xdr:col>12</xdr:col>
      <xdr:colOff>0</xdr:colOff>
      <xdr:row>14</xdr:row>
      <xdr:rowOff>207066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657359</xdr:colOff>
      <xdr:row>1</xdr:row>
      <xdr:rowOff>11074</xdr:rowOff>
    </xdr:from>
    <xdr:to>
      <xdr:col>10</xdr:col>
      <xdr:colOff>319803</xdr:colOff>
      <xdr:row>2</xdr:row>
      <xdr:rowOff>118042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9AD5CA-01F8-4E01-8162-7C69F7D3F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8239" y="252553"/>
          <a:ext cx="1191810" cy="34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209805</xdr:colOff>
      <xdr:row>2</xdr:row>
      <xdr:rowOff>190880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DE0C677F-CA43-48A9-A056-E43A686E873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049" y="0"/>
          <a:ext cx="1363538" cy="673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39414</xdr:colOff>
      <xdr:row>7</xdr:row>
      <xdr:rowOff>13138</xdr:rowOff>
    </xdr:from>
    <xdr:to>
      <xdr:col>11</xdr:col>
      <xdr:colOff>6569</xdr:colOff>
      <xdr:row>20</xdr:row>
      <xdr:rowOff>59121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22849</xdr:colOff>
      <xdr:row>20</xdr:row>
      <xdr:rowOff>163939</xdr:rowOff>
    </xdr:from>
    <xdr:to>
      <xdr:col>10</xdr:col>
      <xdr:colOff>752004</xdr:colOff>
      <xdr:row>28</xdr:row>
      <xdr:rowOff>293032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638175</xdr:colOff>
      <xdr:row>10</xdr:row>
      <xdr:rowOff>71413</xdr:rowOff>
    </xdr:from>
    <xdr:to>
      <xdr:col>12</xdr:col>
      <xdr:colOff>590550</xdr:colOff>
      <xdr:row>14</xdr:row>
      <xdr:rowOff>216492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557045</xdr:colOff>
      <xdr:row>0</xdr:row>
      <xdr:rowOff>172721</xdr:rowOff>
    </xdr:from>
    <xdr:to>
      <xdr:col>12</xdr:col>
      <xdr:colOff>378911</xdr:colOff>
      <xdr:row>2</xdr:row>
      <xdr:rowOff>68385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4BE6855-EEE5-4AD2-977F-5DB28C56B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808" y="172721"/>
          <a:ext cx="1187450" cy="360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300789</xdr:colOff>
      <xdr:row>0</xdr:row>
      <xdr:rowOff>10026</xdr:rowOff>
    </xdr:from>
    <xdr:to>
      <xdr:col>3</xdr:col>
      <xdr:colOff>264566</xdr:colOff>
      <xdr:row>3</xdr:row>
      <xdr:rowOff>2481</xdr:rowOff>
    </xdr:to>
    <xdr:pic>
      <xdr:nvPicPr>
        <xdr:cNvPr id="9" name="Picture 6">
          <a:extLst>
            <a:ext uri="{FF2B5EF4-FFF2-40B4-BE49-F238E27FC236}">
              <a16:creationId xmlns:a16="http://schemas.microsoft.com/office/drawing/2014/main" id="{26A4EFBC-8074-4D7B-A613-238D5B090D5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421" y="10026"/>
          <a:ext cx="1361794" cy="685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19</xdr:row>
      <xdr:rowOff>57150</xdr:rowOff>
    </xdr:from>
    <xdr:to>
      <xdr:col>5</xdr:col>
      <xdr:colOff>0</xdr:colOff>
      <xdr:row>23</xdr:row>
      <xdr:rowOff>230804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57150</xdr:colOff>
      <xdr:row>6</xdr:row>
      <xdr:rowOff>228600</xdr:rowOff>
    </xdr:from>
    <xdr:to>
      <xdr:col>9</xdr:col>
      <xdr:colOff>619125</xdr:colOff>
      <xdr:row>14</xdr:row>
      <xdr:rowOff>219075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47624</xdr:colOff>
      <xdr:row>15</xdr:row>
      <xdr:rowOff>28574</xdr:rowOff>
    </xdr:from>
    <xdr:to>
      <xdr:col>12</xdr:col>
      <xdr:colOff>590549</xdr:colOff>
      <xdr:row>29</xdr:row>
      <xdr:rowOff>352424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85036</xdr:colOff>
      <xdr:row>0</xdr:row>
      <xdr:rowOff>162695</xdr:rowOff>
    </xdr:from>
    <xdr:to>
      <xdr:col>11</xdr:col>
      <xdr:colOff>539427</xdr:colOff>
      <xdr:row>2</xdr:row>
      <xdr:rowOff>19529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0E89185-8AE3-4AFD-9667-5F8FED789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3988" y="162695"/>
          <a:ext cx="1191810" cy="34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626118</xdr:colOff>
      <xdr:row>2</xdr:row>
      <xdr:rowOff>182225</xdr:rowOff>
    </xdr:to>
    <xdr:pic>
      <xdr:nvPicPr>
        <xdr:cNvPr id="12" name="Picture 6">
          <a:extLst>
            <a:ext uri="{FF2B5EF4-FFF2-40B4-BE49-F238E27FC236}">
              <a16:creationId xmlns:a16="http://schemas.microsoft.com/office/drawing/2014/main" id="{E5B8A892-02F0-4379-BD59-5B6CDDB2206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798" y="0"/>
          <a:ext cx="1363538" cy="673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73269</xdr:colOff>
      <xdr:row>7</xdr:row>
      <xdr:rowOff>1593</xdr:rowOff>
    </xdr:from>
    <xdr:to>
      <xdr:col>8</xdr:col>
      <xdr:colOff>911086</xdr:colOff>
      <xdr:row>9</xdr:row>
      <xdr:rowOff>329712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43963</xdr:colOff>
      <xdr:row>10</xdr:row>
      <xdr:rowOff>95250</xdr:rowOff>
    </xdr:from>
    <xdr:to>
      <xdr:col>11</xdr:col>
      <xdr:colOff>731960</xdr:colOff>
      <xdr:row>13</xdr:row>
      <xdr:rowOff>351693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49695</xdr:colOff>
      <xdr:row>10</xdr:row>
      <xdr:rowOff>20388</xdr:rowOff>
    </xdr:from>
    <xdr:to>
      <xdr:col>5</xdr:col>
      <xdr:colOff>389283</xdr:colOff>
      <xdr:row>22</xdr:row>
      <xdr:rowOff>252715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8281</xdr:colOff>
      <xdr:row>14</xdr:row>
      <xdr:rowOff>36443</xdr:rowOff>
    </xdr:from>
    <xdr:to>
      <xdr:col>11</xdr:col>
      <xdr:colOff>720586</xdr:colOff>
      <xdr:row>22</xdr:row>
      <xdr:rowOff>240196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594892</xdr:colOff>
      <xdr:row>0</xdr:row>
      <xdr:rowOff>162695</xdr:rowOff>
    </xdr:from>
    <xdr:to>
      <xdr:col>8</xdr:col>
      <xdr:colOff>819319</xdr:colOff>
      <xdr:row>2</xdr:row>
      <xdr:rowOff>34892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2D04F55-CC18-458E-AF2D-C66BF640F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970" y="162695"/>
          <a:ext cx="1191810" cy="34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148827</xdr:colOff>
      <xdr:row>0</xdr:row>
      <xdr:rowOff>0</xdr:rowOff>
    </xdr:from>
    <xdr:to>
      <xdr:col>2</xdr:col>
      <xdr:colOff>159815</xdr:colOff>
      <xdr:row>2</xdr:row>
      <xdr:rowOff>197588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A1349018-670F-461A-95D2-B25B7DCCD2D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0" y="0"/>
          <a:ext cx="1363538" cy="673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41413</xdr:colOff>
      <xdr:row>11</xdr:row>
      <xdr:rowOff>104775</xdr:rowOff>
    </xdr:from>
    <xdr:to>
      <xdr:col>3</xdr:col>
      <xdr:colOff>247650</xdr:colOff>
      <xdr:row>17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247650</xdr:colOff>
      <xdr:row>11</xdr:row>
      <xdr:rowOff>114300</xdr:rowOff>
    </xdr:from>
    <xdr:to>
      <xdr:col>5</xdr:col>
      <xdr:colOff>1714500</xdr:colOff>
      <xdr:row>25</xdr:row>
      <xdr:rowOff>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1277256</xdr:colOff>
      <xdr:row>1</xdr:row>
      <xdr:rowOff>18921</xdr:rowOff>
    </xdr:from>
    <xdr:to>
      <xdr:col>7</xdr:col>
      <xdr:colOff>600009</xdr:colOff>
      <xdr:row>2</xdr:row>
      <xdr:rowOff>133736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05F6E51-D961-4B8F-8852-C13C65F1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67" y="162695"/>
          <a:ext cx="1191810" cy="34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1363538</xdr:colOff>
      <xdr:row>2</xdr:row>
      <xdr:rowOff>206574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78976B4-EA4D-43D9-B03C-9631E1A8B63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377" y="0"/>
          <a:ext cx="1363538" cy="673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57150</xdr:colOff>
      <xdr:row>7</xdr:row>
      <xdr:rowOff>1</xdr:rowOff>
    </xdr:from>
    <xdr:to>
      <xdr:col>8</xdr:col>
      <xdr:colOff>9525</xdr:colOff>
      <xdr:row>17</xdr:row>
      <xdr:rowOff>190500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390524</xdr:colOff>
      <xdr:row>17</xdr:row>
      <xdr:rowOff>219075</xdr:rowOff>
    </xdr:from>
    <xdr:to>
      <xdr:col>5</xdr:col>
      <xdr:colOff>209549</xdr:colOff>
      <xdr:row>27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2840794</xdr:colOff>
      <xdr:row>1</xdr:row>
      <xdr:rowOff>18921</xdr:rowOff>
    </xdr:from>
    <xdr:to>
      <xdr:col>7</xdr:col>
      <xdr:colOff>330434</xdr:colOff>
      <xdr:row>2</xdr:row>
      <xdr:rowOff>133736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B57F42-084E-40A4-AD0C-0C1D337BE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596" y="162695"/>
          <a:ext cx="1191810" cy="34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1363538</xdr:colOff>
      <xdr:row>2</xdr:row>
      <xdr:rowOff>206574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FEBEE4C4-FBFA-4B22-88E7-82AE230F7AE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406" y="0"/>
          <a:ext cx="1363538" cy="673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5798</xdr:colOff>
      <xdr:row>11</xdr:row>
      <xdr:rowOff>95250</xdr:rowOff>
    </xdr:from>
    <xdr:to>
      <xdr:col>4</xdr:col>
      <xdr:colOff>377273</xdr:colOff>
      <xdr:row>28</xdr:row>
      <xdr:rowOff>219075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67867</xdr:colOff>
      <xdr:row>1</xdr:row>
      <xdr:rowOff>9759</xdr:rowOff>
    </xdr:from>
    <xdr:to>
      <xdr:col>8</xdr:col>
      <xdr:colOff>437912</xdr:colOff>
      <xdr:row>2</xdr:row>
      <xdr:rowOff>115412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A9A536-AE03-42A9-8196-9DB543161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8749" y="252553"/>
          <a:ext cx="1191810" cy="34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635156</xdr:colOff>
      <xdr:row>2</xdr:row>
      <xdr:rowOff>188250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859D575E-ECDE-4372-8D51-4B793281D73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59" y="0"/>
          <a:ext cx="1363538" cy="673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33130</xdr:colOff>
      <xdr:row>16</xdr:row>
      <xdr:rowOff>47625</xdr:rowOff>
    </xdr:from>
    <xdr:to>
      <xdr:col>4</xdr:col>
      <xdr:colOff>33130</xdr:colOff>
      <xdr:row>19</xdr:row>
      <xdr:rowOff>266700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966964</xdr:colOff>
      <xdr:row>1</xdr:row>
      <xdr:rowOff>14428</xdr:rowOff>
    </xdr:from>
    <xdr:to>
      <xdr:col>11</xdr:col>
      <xdr:colOff>164476</xdr:colOff>
      <xdr:row>2</xdr:row>
      <xdr:rowOff>124750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DA25BF7-19CF-4617-9430-9215A3B66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0792" y="252553"/>
          <a:ext cx="1191810" cy="34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1365738</xdr:colOff>
      <xdr:row>2</xdr:row>
      <xdr:rowOff>197588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id="{EFD8BB45-2593-41F6-B13F-4A3F6B19261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602" y="0"/>
          <a:ext cx="1363538" cy="673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24849</xdr:colOff>
      <xdr:row>10</xdr:row>
      <xdr:rowOff>44726</xdr:rowOff>
    </xdr:from>
    <xdr:to>
      <xdr:col>8</xdr:col>
      <xdr:colOff>198782</xdr:colOff>
      <xdr:row>20</xdr:row>
      <xdr:rowOff>207065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231913</xdr:colOff>
      <xdr:row>15</xdr:row>
      <xdr:rowOff>53009</xdr:rowOff>
    </xdr:from>
    <xdr:to>
      <xdr:col>11</xdr:col>
      <xdr:colOff>670891</xdr:colOff>
      <xdr:row>20</xdr:row>
      <xdr:rowOff>273326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594893</xdr:colOff>
      <xdr:row>1</xdr:row>
      <xdr:rowOff>14428</xdr:rowOff>
    </xdr:from>
    <xdr:to>
      <xdr:col>10</xdr:col>
      <xdr:colOff>268656</xdr:colOff>
      <xdr:row>2</xdr:row>
      <xdr:rowOff>124750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BDB6F9B-6F5D-48E4-82D0-14685A34D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1260" y="252553"/>
          <a:ext cx="1191810" cy="34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1363538</xdr:colOff>
      <xdr:row>2</xdr:row>
      <xdr:rowOff>197588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C230AA5-A315-4375-9FBB-188447D06AC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070" y="0"/>
          <a:ext cx="1363538" cy="673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23812</xdr:colOff>
      <xdr:row>7</xdr:row>
      <xdr:rowOff>1</xdr:rowOff>
    </xdr:from>
    <xdr:to>
      <xdr:col>6</xdr:col>
      <xdr:colOff>619125</xdr:colOff>
      <xdr:row>11</xdr:row>
      <xdr:rowOff>276226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</xdr:colOff>
      <xdr:row>11</xdr:row>
      <xdr:rowOff>295275</xdr:rowOff>
    </xdr:from>
    <xdr:to>
      <xdr:col>6</xdr:col>
      <xdr:colOff>619125</xdr:colOff>
      <xdr:row>27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L25"/>
  <sheetViews>
    <sheetView tabSelected="1" zoomScaleNormal="100" workbookViewId="0"/>
  </sheetViews>
  <sheetFormatPr baseColWidth="10" defaultRowHeight="15" x14ac:dyDescent="0.25"/>
  <cols>
    <col min="1" max="16384" width="11.42578125" style="152"/>
  </cols>
  <sheetData>
    <row r="6" spans="3:12" ht="18.75" x14ac:dyDescent="0.3">
      <c r="C6" s="246" t="s">
        <v>1034</v>
      </c>
    </row>
    <row r="8" spans="3:12" x14ac:dyDescent="0.25">
      <c r="C8" s="252" t="s">
        <v>1035</v>
      </c>
      <c r="D8" s="252"/>
      <c r="E8" s="252"/>
      <c r="F8" s="252"/>
      <c r="G8" s="252"/>
      <c r="H8" s="252"/>
      <c r="I8" s="252"/>
      <c r="J8" s="252"/>
      <c r="K8" s="252"/>
      <c r="L8" s="252"/>
    </row>
    <row r="9" spans="3:12" ht="15" customHeight="1" x14ac:dyDescent="0.25">
      <c r="C9" s="252"/>
      <c r="D9" s="252"/>
      <c r="E9" s="252"/>
      <c r="F9" s="252"/>
      <c r="G9" s="252"/>
      <c r="H9" s="252"/>
      <c r="I9" s="252"/>
      <c r="J9" s="252"/>
      <c r="K9" s="252"/>
      <c r="L9" s="252"/>
    </row>
    <row r="10" spans="3:12" x14ac:dyDescent="0.25">
      <c r="C10" s="252"/>
      <c r="D10" s="252"/>
      <c r="E10" s="252"/>
      <c r="F10" s="252"/>
      <c r="G10" s="252"/>
      <c r="H10" s="252"/>
      <c r="I10" s="252"/>
      <c r="J10" s="252"/>
      <c r="K10" s="252"/>
      <c r="L10" s="252"/>
    </row>
    <row r="11" spans="3:12" ht="15" customHeight="1" x14ac:dyDescent="0.25">
      <c r="C11" s="252" t="s">
        <v>1041</v>
      </c>
      <c r="D11" s="252"/>
      <c r="E11" s="252"/>
      <c r="F11" s="252"/>
      <c r="G11" s="252"/>
      <c r="H11" s="252"/>
      <c r="I11" s="252"/>
      <c r="J11" s="252"/>
      <c r="K11" s="252"/>
      <c r="L11" s="252"/>
    </row>
    <row r="12" spans="3:12" ht="15" customHeight="1" x14ac:dyDescent="0.25"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3:12" ht="15" customHeight="1" x14ac:dyDescent="0.25">
      <c r="C13" s="252"/>
      <c r="D13" s="252"/>
      <c r="E13" s="252"/>
      <c r="F13" s="252"/>
      <c r="G13" s="252"/>
      <c r="H13" s="252"/>
      <c r="I13" s="252"/>
      <c r="J13" s="252"/>
      <c r="K13" s="252"/>
      <c r="L13" s="252"/>
    </row>
    <row r="14" spans="3:12" ht="15" customHeight="1" x14ac:dyDescent="0.25">
      <c r="C14" s="252"/>
      <c r="D14" s="252"/>
      <c r="E14" s="252"/>
      <c r="F14" s="252"/>
      <c r="G14" s="252"/>
      <c r="H14" s="252"/>
      <c r="I14" s="252"/>
      <c r="J14" s="252"/>
      <c r="K14" s="252"/>
      <c r="L14" s="252"/>
    </row>
    <row r="15" spans="3:12" ht="15" customHeight="1" x14ac:dyDescent="0.25">
      <c r="C15" s="252" t="s">
        <v>1042</v>
      </c>
      <c r="D15" s="252"/>
      <c r="E15" s="252"/>
      <c r="F15" s="252"/>
      <c r="G15" s="252"/>
      <c r="H15" s="252"/>
      <c r="I15" s="252"/>
      <c r="J15" s="252"/>
      <c r="K15" s="252"/>
      <c r="L15" s="252"/>
    </row>
    <row r="16" spans="3:12" ht="12" customHeight="1" x14ac:dyDescent="0.25">
      <c r="C16" s="252"/>
      <c r="D16" s="252"/>
      <c r="E16" s="252"/>
      <c r="F16" s="252"/>
      <c r="G16" s="252"/>
      <c r="H16" s="252"/>
      <c r="I16" s="252"/>
      <c r="J16" s="252"/>
      <c r="K16" s="252"/>
      <c r="L16" s="252"/>
    </row>
    <row r="17" spans="3:12" ht="16.5" customHeight="1" x14ac:dyDescent="0.25"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3:12" ht="15" customHeight="1" x14ac:dyDescent="0.25">
      <c r="C18" s="249"/>
      <c r="D18" s="249"/>
      <c r="E18" s="249"/>
      <c r="F18" s="249"/>
      <c r="G18" s="249"/>
      <c r="H18" s="249"/>
      <c r="I18" s="249"/>
      <c r="J18" s="249"/>
      <c r="K18" s="249"/>
      <c r="L18" s="249"/>
    </row>
    <row r="19" spans="3:12" ht="30" customHeight="1" x14ac:dyDescent="0.3">
      <c r="C19" s="253" t="s">
        <v>990</v>
      </c>
      <c r="D19" s="253"/>
      <c r="E19" s="253"/>
      <c r="F19" s="253"/>
      <c r="G19" s="253"/>
      <c r="H19" s="248"/>
      <c r="I19" s="253" t="s">
        <v>993</v>
      </c>
      <c r="J19" s="253"/>
      <c r="K19" s="253"/>
      <c r="L19" s="253"/>
    </row>
    <row r="20" spans="3:12" ht="30" customHeight="1" x14ac:dyDescent="0.3">
      <c r="C20" s="254" t="s">
        <v>995</v>
      </c>
      <c r="D20" s="254"/>
      <c r="E20" s="254"/>
      <c r="F20" s="254"/>
      <c r="G20" s="254"/>
      <c r="H20" s="248"/>
      <c r="I20" s="254" t="s">
        <v>996</v>
      </c>
      <c r="J20" s="254"/>
      <c r="K20" s="254"/>
      <c r="L20" s="254"/>
    </row>
    <row r="21" spans="3:12" ht="30" customHeight="1" x14ac:dyDescent="0.3">
      <c r="C21" s="253" t="s">
        <v>511</v>
      </c>
      <c r="D21" s="253"/>
      <c r="E21" s="253"/>
      <c r="F21" s="253"/>
      <c r="G21" s="253"/>
      <c r="H21" s="248"/>
      <c r="I21" s="255" t="s">
        <v>997</v>
      </c>
      <c r="J21" s="255"/>
      <c r="K21" s="255"/>
      <c r="L21" s="255"/>
    </row>
    <row r="22" spans="3:12" ht="30" customHeight="1" x14ac:dyDescent="0.3">
      <c r="C22" s="254" t="s">
        <v>994</v>
      </c>
      <c r="D22" s="254"/>
      <c r="E22" s="254"/>
      <c r="F22" s="254"/>
      <c r="G22" s="254"/>
      <c r="H22" s="248"/>
      <c r="I22" s="254" t="s">
        <v>998</v>
      </c>
      <c r="J22" s="254"/>
      <c r="K22" s="254"/>
      <c r="L22" s="254"/>
    </row>
    <row r="23" spans="3:12" ht="30" customHeight="1" x14ac:dyDescent="0.3">
      <c r="C23" s="253" t="s">
        <v>991</v>
      </c>
      <c r="D23" s="253"/>
      <c r="E23" s="253"/>
      <c r="F23" s="253"/>
      <c r="G23" s="253"/>
      <c r="H23" s="248"/>
      <c r="I23" s="253" t="s">
        <v>999</v>
      </c>
      <c r="J23" s="253"/>
      <c r="K23" s="253"/>
      <c r="L23" s="253"/>
    </row>
    <row r="24" spans="3:12" ht="30" customHeight="1" x14ac:dyDescent="0.3">
      <c r="C24" s="254" t="s">
        <v>992</v>
      </c>
      <c r="D24" s="254"/>
      <c r="E24" s="254"/>
      <c r="F24" s="254"/>
      <c r="G24" s="254"/>
      <c r="H24" s="248"/>
      <c r="I24" s="248"/>
      <c r="J24" s="248"/>
      <c r="K24" s="248"/>
      <c r="L24" s="248"/>
    </row>
    <row r="25" spans="3:12" ht="15" customHeight="1" x14ac:dyDescent="0.25"/>
  </sheetData>
  <sheetProtection password="EBC7" sheet="1" objects="1" scenarios="1"/>
  <mergeCells count="14">
    <mergeCell ref="C24:G24"/>
    <mergeCell ref="I23:L23"/>
    <mergeCell ref="C19:G19"/>
    <mergeCell ref="C20:G20"/>
    <mergeCell ref="C21:G21"/>
    <mergeCell ref="C22:G22"/>
    <mergeCell ref="C23:G23"/>
    <mergeCell ref="C11:L14"/>
    <mergeCell ref="C15:L17"/>
    <mergeCell ref="I19:L19"/>
    <mergeCell ref="C8:L10"/>
    <mergeCell ref="I22:L22"/>
    <mergeCell ref="I20:L20"/>
    <mergeCell ref="I21:L21"/>
  </mergeCells>
  <hyperlinks>
    <hyperlink ref="C19:G19" location="'POBLACIÓN TOTAL'!M1" display="Población Total"/>
    <hyperlink ref="C20:G20" location="'POBLACIÓN INDÍGENA'!L4" display="Población Hablante de Lengua Indígena"/>
    <hyperlink ref="C21:G21" location="HOGARES!I4" display="Hogares"/>
    <hyperlink ref="C22:G22" location="'TAMAÑO DE LOCALIDADES'!H4" display="Tamaño de Localidades"/>
    <hyperlink ref="C23:G23" location="DISCAPACIDAD!H4" display="Discapacidad"/>
    <hyperlink ref="C24:G24" location="EDUCACIÓN!J4" display="Educación"/>
    <hyperlink ref="I19:K19" location="'ACT ECONÓMICA'!L4" display="Actividad Económica"/>
    <hyperlink ref="I20:K20" location="SALUD!K4" display="Salud"/>
    <hyperlink ref="I21:K21" location="'SERVICIOS VIVIENDAS'!K4" display="Servicios en Viviendas"/>
    <hyperlink ref="I22:L22" location="'CALIDAD VIVIENDAS'!K4" display="Calidad de las Viviendas"/>
    <hyperlink ref="I23:K23" location="'ESPACIO VIVIENDAS'!K4" display="Espacios en Viviendas"/>
  </hyperlinks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E16" sqref="E16"/>
    </sheetView>
  </sheetViews>
  <sheetFormatPr baseColWidth="10" defaultRowHeight="15" x14ac:dyDescent="0.25"/>
  <cols>
    <col min="1" max="1" width="6.28515625" style="152" customWidth="1"/>
    <col min="2" max="2" width="22.140625" style="152" customWidth="1"/>
    <col min="3" max="3" width="10.28515625" style="152" customWidth="1"/>
    <col min="4" max="4" width="11.140625" style="152" customWidth="1"/>
    <col min="5" max="5" width="12.42578125" style="152" customWidth="1"/>
    <col min="6" max="6" width="11.7109375" style="152" customWidth="1"/>
    <col min="7" max="7" width="3" style="152" customWidth="1"/>
    <col min="8" max="9" width="15.5703125" style="152" customWidth="1"/>
    <col min="10" max="10" width="10.42578125" style="152" customWidth="1"/>
    <col min="11" max="16384" width="11.42578125" style="152"/>
  </cols>
  <sheetData>
    <row r="1" spans="1:16" ht="19.5" customHeight="1" x14ac:dyDescent="0.25"/>
    <row r="2" spans="1:16" ht="19.5" customHeight="1" x14ac:dyDescent="0.25"/>
    <row r="3" spans="1:16" ht="19.5" customHeight="1" x14ac:dyDescent="0.25"/>
    <row r="4" spans="1:16" ht="18.75" x14ac:dyDescent="0.25">
      <c r="B4" s="33" t="s">
        <v>1024</v>
      </c>
      <c r="K4" s="247" t="s">
        <v>1000</v>
      </c>
    </row>
    <row r="5" spans="1:16" ht="15.75" x14ac:dyDescent="0.25">
      <c r="B5" s="36" t="s">
        <v>383</v>
      </c>
    </row>
    <row r="6" spans="1:16" ht="23.25" customHeight="1" x14ac:dyDescent="0.25">
      <c r="B6" s="35" t="s">
        <v>1001</v>
      </c>
      <c r="G6" s="38" t="s">
        <v>8</v>
      </c>
      <c r="H6" s="65" t="str">
        <f>VLOOKUP('POBLACIÓN TOTAL'!J6,BASE!B3:B126,1,0)</f>
        <v>Acacoyagua</v>
      </c>
      <c r="I6" s="158"/>
      <c r="J6" s="158"/>
      <c r="K6" s="158"/>
    </row>
    <row r="7" spans="1:16" ht="15.75" x14ac:dyDescent="0.25">
      <c r="B7" s="153"/>
    </row>
    <row r="8" spans="1:16" ht="34.5" customHeight="1" x14ac:dyDescent="0.25">
      <c r="H8" s="324" t="s">
        <v>1025</v>
      </c>
      <c r="I8" s="324"/>
      <c r="J8" s="324"/>
      <c r="K8" s="324"/>
      <c r="N8" s="325" t="s">
        <v>822</v>
      </c>
      <c r="O8" s="325"/>
      <c r="P8" s="325"/>
    </row>
    <row r="9" spans="1:16" ht="24" x14ac:dyDescent="0.25">
      <c r="H9" s="328" t="s">
        <v>10</v>
      </c>
      <c r="I9" s="329"/>
      <c r="J9" s="187" t="s">
        <v>803</v>
      </c>
      <c r="K9" s="187" t="s">
        <v>360</v>
      </c>
      <c r="N9" s="182"/>
      <c r="O9" s="183" t="s">
        <v>803</v>
      </c>
      <c r="P9" s="183" t="s">
        <v>809</v>
      </c>
    </row>
    <row r="10" spans="1:16" ht="29.25" customHeight="1" x14ac:dyDescent="0.25">
      <c r="H10" s="330"/>
      <c r="I10" s="331"/>
      <c r="J10" s="188">
        <f>VLOOKUP(H6,BASE!B3:LX126,335,0)</f>
        <v>3837</v>
      </c>
      <c r="K10" s="189">
        <f>J10/J10</f>
        <v>1</v>
      </c>
      <c r="N10" s="184" t="s">
        <v>823</v>
      </c>
      <c r="O10" s="11">
        <f>VLOOKUP(H6,BASE!B3:JY126,284,0)</f>
        <v>3625</v>
      </c>
      <c r="P10" s="185">
        <f>O10/C16</f>
        <v>0.94474850143341149</v>
      </c>
    </row>
    <row r="11" spans="1:16" ht="29.25" customHeight="1" x14ac:dyDescent="0.25">
      <c r="H11" s="322" t="s">
        <v>804</v>
      </c>
      <c r="I11" s="322"/>
      <c r="J11" s="160">
        <f>VLOOKUP(H6,BASE!B3:IV126,255,0)</f>
        <v>1661</v>
      </c>
      <c r="K11" s="162">
        <f>J11/J10</f>
        <v>0.43289027886369558</v>
      </c>
      <c r="N11" s="184" t="s">
        <v>910</v>
      </c>
      <c r="O11" s="11">
        <f>J11+J12+J13+J14</f>
        <v>3258</v>
      </c>
      <c r="P11" s="185">
        <f>O11/C16</f>
        <v>0.84910086004691165</v>
      </c>
    </row>
    <row r="12" spans="1:16" ht="37.5" customHeight="1" x14ac:dyDescent="0.25">
      <c r="H12" s="323" t="s">
        <v>805</v>
      </c>
      <c r="I12" s="323"/>
      <c r="J12" s="159">
        <f>VLOOKUP(H6,BASE!B3:IW126,256,0)</f>
        <v>1291</v>
      </c>
      <c r="K12" s="161">
        <f>J12/J10</f>
        <v>0.33646077664842322</v>
      </c>
      <c r="N12" s="184" t="s">
        <v>911</v>
      </c>
      <c r="O12" s="11">
        <f>J21</f>
        <v>1578</v>
      </c>
      <c r="P12" s="185">
        <f>O12/C16</f>
        <v>0.41125879593432368</v>
      </c>
    </row>
    <row r="13" spans="1:16" ht="29.25" customHeight="1" x14ac:dyDescent="0.25">
      <c r="H13" s="322" t="s">
        <v>806</v>
      </c>
      <c r="I13" s="322"/>
      <c r="J13" s="160">
        <f>VLOOKUP(H6,BASE!B3:IX126,257,0)</f>
        <v>247</v>
      </c>
      <c r="K13" s="162">
        <f>J13/J10</f>
        <v>6.4373208235600735E-2</v>
      </c>
    </row>
    <row r="14" spans="1:16" ht="29.25" customHeight="1" x14ac:dyDescent="0.25">
      <c r="A14" s="170"/>
      <c r="B14" s="332" t="s">
        <v>1026</v>
      </c>
      <c r="C14" s="333"/>
      <c r="D14" s="333"/>
      <c r="E14" s="333"/>
      <c r="F14" s="333"/>
      <c r="G14" s="176"/>
      <c r="H14" s="323" t="s">
        <v>903</v>
      </c>
      <c r="I14" s="323"/>
      <c r="J14" s="159">
        <f>VLOOKUP(H6,BASE!B3:IY126,258,0)</f>
        <v>59</v>
      </c>
      <c r="K14" s="161">
        <f>J14/J10</f>
        <v>1.5376596299192077E-2</v>
      </c>
    </row>
    <row r="15" spans="1:16" ht="29.25" customHeight="1" x14ac:dyDescent="0.25">
      <c r="B15" s="326" t="s">
        <v>10</v>
      </c>
      <c r="C15" s="187" t="s">
        <v>803</v>
      </c>
      <c r="D15" s="187" t="s">
        <v>809</v>
      </c>
      <c r="E15" s="187" t="s">
        <v>810</v>
      </c>
      <c r="F15" s="187" t="s">
        <v>811</v>
      </c>
      <c r="H15" s="322" t="s">
        <v>807</v>
      </c>
      <c r="I15" s="322"/>
      <c r="J15" s="160">
        <f>VLOOKUP(H6,BASE!B3:IZ126,259,0)</f>
        <v>0</v>
      </c>
      <c r="K15" s="162">
        <f>J15/J10</f>
        <v>0</v>
      </c>
    </row>
    <row r="16" spans="1:16" ht="29.25" customHeight="1" x14ac:dyDescent="0.25">
      <c r="B16" s="327"/>
      <c r="C16" s="188">
        <f>VLOOKUP(H6,BASE!B3:LX126,335,0)</f>
        <v>3837</v>
      </c>
      <c r="D16" s="189">
        <f>C16/C16</f>
        <v>1</v>
      </c>
      <c r="E16" s="188">
        <f>VLOOKUP(H6,BASE!B3:LY126,336,0)</f>
        <v>16813</v>
      </c>
      <c r="F16" s="189">
        <f>E16/E16</f>
        <v>1</v>
      </c>
      <c r="H16" s="323" t="s">
        <v>808</v>
      </c>
      <c r="I16" s="323"/>
      <c r="J16" s="159">
        <f>VLOOKUP(H6,BASE!B3:JA126,260,0)</f>
        <v>566</v>
      </c>
      <c r="K16" s="161">
        <f>J16/J10</f>
        <v>0.14751107636174093</v>
      </c>
    </row>
    <row r="17" spans="1:11" ht="29.25" customHeight="1" x14ac:dyDescent="0.25">
      <c r="B17" s="168" t="s">
        <v>812</v>
      </c>
      <c r="C17" s="167">
        <f>VLOOKUP(H6,BASE!B3:HQ126,224,0)</f>
        <v>3823</v>
      </c>
      <c r="D17" s="162">
        <f>C17/C16</f>
        <v>0.99635131613239514</v>
      </c>
      <c r="E17" s="160">
        <f>VLOOKUP(H6,BASE!B3:JZ126,285,0)</f>
        <v>16768</v>
      </c>
      <c r="F17" s="162">
        <f>E17/E16</f>
        <v>0.99732349967287215</v>
      </c>
    </row>
    <row r="18" spans="1:11" ht="29.25" customHeight="1" x14ac:dyDescent="0.25">
      <c r="B18" s="156" t="s">
        <v>813</v>
      </c>
      <c r="C18" s="159">
        <f>VLOOKUP(H6,BASE!B3:HR126,225,0)</f>
        <v>1</v>
      </c>
      <c r="D18" s="161">
        <f>C18/C16</f>
        <v>2.6062027625749283E-4</v>
      </c>
      <c r="E18" s="159">
        <f>VLOOKUP(H6,BASE!B3:KA126,286,0)</f>
        <v>2</v>
      </c>
      <c r="F18" s="161">
        <f>E18/E16</f>
        <v>1.1895557009456968E-4</v>
      </c>
      <c r="H18" s="324" t="s">
        <v>1027</v>
      </c>
      <c r="I18" s="324"/>
      <c r="J18" s="324"/>
      <c r="K18" s="324"/>
    </row>
    <row r="19" spans="1:11" ht="21" customHeight="1" x14ac:dyDescent="0.25">
      <c r="B19" s="169" t="s">
        <v>814</v>
      </c>
      <c r="C19" s="160">
        <f>VLOOKUP(H6,BASE!B3:HS126,226,0)</f>
        <v>6</v>
      </c>
      <c r="D19" s="162">
        <f>C19/C16</f>
        <v>1.563721657544957E-3</v>
      </c>
      <c r="E19" s="160">
        <f>VLOOKUP(H6,BASE!B3:KB126,287,0)</f>
        <v>22</v>
      </c>
      <c r="F19" s="162">
        <f>E19/E16</f>
        <v>1.3085112710402665E-3</v>
      </c>
      <c r="H19" s="328" t="s">
        <v>10</v>
      </c>
      <c r="I19" s="329"/>
      <c r="J19" s="190" t="s">
        <v>803</v>
      </c>
      <c r="K19" s="190" t="s">
        <v>809</v>
      </c>
    </row>
    <row r="20" spans="1:11" ht="26.25" customHeight="1" x14ac:dyDescent="0.25">
      <c r="A20" s="170"/>
      <c r="B20" s="156" t="s">
        <v>849</v>
      </c>
      <c r="C20" s="172">
        <f>VLOOKUP(H6,BASE!B3:HT126,227,0)</f>
        <v>0</v>
      </c>
      <c r="D20" s="161">
        <f>C20/C16</f>
        <v>0</v>
      </c>
      <c r="E20" s="159">
        <f>VLOOKUP(H6,BASE!B3:KC126,288,0)</f>
        <v>0</v>
      </c>
      <c r="F20" s="161">
        <f>E20/E16</f>
        <v>0</v>
      </c>
      <c r="H20" s="330"/>
      <c r="I20" s="331"/>
      <c r="J20" s="188">
        <f>VLOOKUP(H6,BASE!B3:LX126,335,0)</f>
        <v>3837</v>
      </c>
      <c r="K20" s="189">
        <f>J20/J20</f>
        <v>1</v>
      </c>
    </row>
    <row r="21" spans="1:11" s="157" customFormat="1" ht="26.25" customHeight="1" x14ac:dyDescent="0.25">
      <c r="A21" s="171"/>
      <c r="B21" s="173" t="s">
        <v>815</v>
      </c>
      <c r="C21" s="160">
        <f>VLOOKUP(H6,BASE!B3:HU126,228,0)</f>
        <v>0</v>
      </c>
      <c r="D21" s="162">
        <f>C21/C16</f>
        <v>0</v>
      </c>
      <c r="E21" s="160">
        <f>VLOOKUP(H6,BASE!B3:KD126,289,0)</f>
        <v>0</v>
      </c>
      <c r="F21" s="162">
        <f>E21/E16</f>
        <v>0</v>
      </c>
      <c r="H21" s="318" t="s">
        <v>818</v>
      </c>
      <c r="I21" s="319"/>
      <c r="J21" s="160">
        <f>VLOOKUP(H6,BASE!B3:JB126,261,0)</f>
        <v>1578</v>
      </c>
      <c r="K21" s="162">
        <f>J21/J20</f>
        <v>0.41125879593432368</v>
      </c>
    </row>
    <row r="22" spans="1:11" ht="21" customHeight="1" x14ac:dyDescent="0.25">
      <c r="B22" s="175" t="s">
        <v>816</v>
      </c>
      <c r="C22" s="159">
        <f>VLOOKUP(H6,BASE!B3:HV126,229,0)</f>
        <v>0</v>
      </c>
      <c r="D22" s="161">
        <f>C22/C16</f>
        <v>0</v>
      </c>
      <c r="E22" s="159">
        <f>VLOOKUP(H6,BASE!B3:KE126,290,0)</f>
        <v>0</v>
      </c>
      <c r="F22" s="161">
        <f>E22/E16</f>
        <v>0</v>
      </c>
      <c r="H22" s="320" t="s">
        <v>819</v>
      </c>
      <c r="I22" s="321"/>
      <c r="J22" s="159">
        <f>VLOOKUP(H6,BASE!B3:JC126,262,0)</f>
        <v>1850</v>
      </c>
      <c r="K22" s="161">
        <f>J22/J20</f>
        <v>0.48214751107636172</v>
      </c>
    </row>
    <row r="23" spans="1:11" ht="21" customHeight="1" x14ac:dyDescent="0.25">
      <c r="B23" s="174" t="s">
        <v>817</v>
      </c>
      <c r="C23" s="160">
        <f>VLOOKUP(H6,BASE!B3:HW126,230,0)</f>
        <v>1</v>
      </c>
      <c r="D23" s="162">
        <f>C23/C16</f>
        <v>2.6062027625749283E-4</v>
      </c>
      <c r="E23" s="160">
        <f>VLOOKUP(H6,BASE!B3:KF126,291,0)</f>
        <v>1</v>
      </c>
      <c r="F23" s="162">
        <f>E23/E16</f>
        <v>5.9477785047284842E-5</v>
      </c>
      <c r="H23" s="318" t="s">
        <v>820</v>
      </c>
      <c r="I23" s="319"/>
      <c r="J23" s="160">
        <f>VLOOKUP(H6,BASE!B3:JD126,263,0)</f>
        <v>16</v>
      </c>
      <c r="K23" s="162">
        <f>J23/J20</f>
        <v>4.1699244201198853E-3</v>
      </c>
    </row>
    <row r="24" spans="1:11" ht="21" customHeight="1" x14ac:dyDescent="0.25">
      <c r="A24" s="170"/>
      <c r="B24" s="175" t="s">
        <v>9</v>
      </c>
      <c r="C24" s="159">
        <f>VLOOKUP(H6,BASE!B3:HX126,231,0)</f>
        <v>7</v>
      </c>
      <c r="D24" s="161">
        <f>C24/C16</f>
        <v>1.8243419338024498E-3</v>
      </c>
      <c r="E24" s="159">
        <f>VLOOKUP(H6,BASE!B3:KG126,292,0)</f>
        <v>21</v>
      </c>
      <c r="F24" s="161">
        <f>E24/E16</f>
        <v>1.2490334859929816E-3</v>
      </c>
      <c r="H24" s="320" t="s">
        <v>821</v>
      </c>
      <c r="I24" s="321"/>
      <c r="J24" s="159">
        <f>VLOOKUP(H6,BASE!B3:JE126,264,0)</f>
        <v>10</v>
      </c>
      <c r="K24" s="161">
        <f>J24/J20</f>
        <v>2.6062027625749283E-3</v>
      </c>
    </row>
    <row r="25" spans="1:11" ht="37.5" customHeight="1" x14ac:dyDescent="0.25"/>
    <row r="26" spans="1:11" ht="39.75" customHeight="1" x14ac:dyDescent="0.25"/>
    <row r="27" spans="1:11" ht="42.75" customHeight="1" x14ac:dyDescent="0.25"/>
    <row r="28" spans="1:11" ht="18.75" customHeight="1" x14ac:dyDescent="0.25"/>
    <row r="29" spans="1:11" ht="33" customHeight="1" x14ac:dyDescent="0.25"/>
  </sheetData>
  <sheetProtection password="EBC7" sheet="1" objects="1" scenarios="1"/>
  <mergeCells count="17">
    <mergeCell ref="N8:P8"/>
    <mergeCell ref="H8:K8"/>
    <mergeCell ref="B15:B16"/>
    <mergeCell ref="H9:I10"/>
    <mergeCell ref="H19:I20"/>
    <mergeCell ref="H11:I11"/>
    <mergeCell ref="H12:I12"/>
    <mergeCell ref="B14:F14"/>
    <mergeCell ref="H23:I23"/>
    <mergeCell ref="H24:I24"/>
    <mergeCell ref="H13:I13"/>
    <mergeCell ref="H14:I14"/>
    <mergeCell ref="H15:I15"/>
    <mergeCell ref="H16:I16"/>
    <mergeCell ref="H18:K18"/>
    <mergeCell ref="H21:I21"/>
    <mergeCell ref="H22:I22"/>
  </mergeCells>
  <hyperlinks>
    <hyperlink ref="K4" location="PRESENTACIÓN!C7" display="INICIO"/>
  </hyperlinks>
  <pageMargins left="0.43307086614173229" right="0.23622047244094491" top="0.19685039370078741" bottom="0.19685039370078741" header="0" footer="0"/>
  <pageSetup orientation="landscape" r:id="rId1"/>
  <ignoredErrors>
    <ignoredError sqref="E16:E24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zoomScaleNormal="100" workbookViewId="0">
      <selection activeCell="N23" sqref="N23"/>
    </sheetView>
  </sheetViews>
  <sheetFormatPr baseColWidth="10" defaultRowHeight="15" x14ac:dyDescent="0.25"/>
  <cols>
    <col min="1" max="1" width="5.5703125" style="152" customWidth="1"/>
    <col min="2" max="2" width="19.140625" style="152" customWidth="1"/>
    <col min="3" max="3" width="11.42578125" style="152"/>
    <col min="4" max="4" width="8.5703125" style="152" customWidth="1"/>
    <col min="5" max="5" width="11.42578125" style="152"/>
    <col min="6" max="6" width="8.7109375" style="152" customWidth="1"/>
    <col min="7" max="7" width="7.85546875" style="152" customWidth="1"/>
    <col min="8" max="8" width="23.28515625" style="152" customWidth="1"/>
    <col min="9" max="9" width="11.42578125" style="152"/>
    <col min="10" max="10" width="7.85546875" style="152" customWidth="1"/>
    <col min="11" max="11" width="11.42578125" style="152"/>
    <col min="12" max="12" width="7.140625" style="152" customWidth="1"/>
    <col min="13" max="14" width="11.42578125" style="152"/>
    <col min="15" max="15" width="22.140625" style="152" customWidth="1"/>
    <col min="16" max="16384" width="11.42578125" style="152"/>
  </cols>
  <sheetData>
    <row r="1" spans="2:12" ht="18.75" customHeight="1" x14ac:dyDescent="0.25"/>
    <row r="2" spans="2:12" ht="18.75" customHeight="1" x14ac:dyDescent="0.25"/>
    <row r="3" spans="2:12" ht="18.75" customHeight="1" x14ac:dyDescent="0.25"/>
    <row r="4" spans="2:12" ht="18.75" x14ac:dyDescent="0.25">
      <c r="B4" s="33" t="s">
        <v>1024</v>
      </c>
      <c r="K4" s="247" t="s">
        <v>1000</v>
      </c>
    </row>
    <row r="5" spans="2:12" ht="15.75" x14ac:dyDescent="0.25">
      <c r="B5" s="36" t="s">
        <v>896</v>
      </c>
    </row>
    <row r="6" spans="2:12" ht="22.5" customHeight="1" x14ac:dyDescent="0.25">
      <c r="B6" s="35" t="s">
        <v>1001</v>
      </c>
      <c r="G6" s="38" t="s">
        <v>8</v>
      </c>
      <c r="H6" s="65" t="str">
        <f>VLOOKUP('POBLACIÓN TOTAL'!J6,BASE!B3:B126,1,0)</f>
        <v>Acacoyagua</v>
      </c>
      <c r="I6" s="158"/>
      <c r="J6" s="158"/>
      <c r="K6" s="158"/>
      <c r="L6" s="158"/>
    </row>
    <row r="8" spans="2:12" ht="20.25" customHeight="1" x14ac:dyDescent="0.25">
      <c r="B8" s="334" t="s">
        <v>1028</v>
      </c>
      <c r="C8" s="333"/>
      <c r="D8" s="333"/>
      <c r="E8" s="333"/>
      <c r="F8" s="333"/>
      <c r="G8" s="163"/>
    </row>
    <row r="9" spans="2:12" x14ac:dyDescent="0.25">
      <c r="B9" s="154"/>
      <c r="C9" s="155" t="s">
        <v>803</v>
      </c>
      <c r="D9" s="155" t="s">
        <v>360</v>
      </c>
      <c r="E9" s="155" t="s">
        <v>810</v>
      </c>
      <c r="F9" s="155" t="s">
        <v>360</v>
      </c>
      <c r="G9" s="164"/>
    </row>
    <row r="10" spans="2:12" x14ac:dyDescent="0.25">
      <c r="B10" s="186" t="s">
        <v>10</v>
      </c>
      <c r="C10" s="160">
        <f>VLOOKUP(H6,BASE!B3:LX126,335,0)</f>
        <v>3837</v>
      </c>
      <c r="D10" s="162">
        <f>C10/C10</f>
        <v>1</v>
      </c>
      <c r="E10" s="160">
        <f>VLOOKUP(H6,BASE!B3:LY126,336,0)</f>
        <v>16813</v>
      </c>
      <c r="F10" s="162">
        <f>E10/E10</f>
        <v>1</v>
      </c>
      <c r="G10" s="164"/>
    </row>
    <row r="11" spans="2:12" x14ac:dyDescent="0.25">
      <c r="B11" s="156" t="s">
        <v>824</v>
      </c>
      <c r="C11" s="159">
        <f>VLOOKUP(H6,BASE!B3:JH126,267,0)</f>
        <v>363</v>
      </c>
      <c r="D11" s="161">
        <f>C11/C10</f>
        <v>9.4605160281469897E-2</v>
      </c>
      <c r="E11" s="159">
        <f>VLOOKUP(H6,BASE!B3:KH126,293,0)</f>
        <v>1623</v>
      </c>
      <c r="F11" s="161">
        <f>E11/E10</f>
        <v>9.6532445131743291E-2</v>
      </c>
      <c r="G11" s="164"/>
    </row>
    <row r="12" spans="2:12" x14ac:dyDescent="0.25">
      <c r="B12" s="169" t="s">
        <v>825</v>
      </c>
      <c r="C12" s="160">
        <f>VLOOKUP(H6,BASE!B3:JI126,268,0)</f>
        <v>3383</v>
      </c>
      <c r="D12" s="162">
        <f>C12/C10</f>
        <v>0.88167839457909825</v>
      </c>
      <c r="E12" s="160">
        <f>VLOOKUP(H6,BASE!B3:KI126,294,0)</f>
        <v>14834</v>
      </c>
      <c r="F12" s="162">
        <f>E12/E10</f>
        <v>0.88229346339142334</v>
      </c>
      <c r="G12" s="164"/>
    </row>
    <row r="13" spans="2:12" ht="24" x14ac:dyDescent="0.25">
      <c r="B13" s="156" t="s">
        <v>826</v>
      </c>
      <c r="C13" s="159">
        <f>VLOOKUP(H6,BASE!B3:JJ126,269,0)</f>
        <v>77</v>
      </c>
      <c r="D13" s="161">
        <f>C13/C10</f>
        <v>2.006776127182695E-2</v>
      </c>
      <c r="E13" s="159">
        <f>VLOOKUP(H6,BASE!B3:KJ126,295,0)</f>
        <v>299</v>
      </c>
      <c r="F13" s="161">
        <f>E13/E10</f>
        <v>1.7783857729138167E-2</v>
      </c>
      <c r="G13" s="164"/>
    </row>
    <row r="14" spans="2:12" ht="36" customHeight="1" x14ac:dyDescent="0.25">
      <c r="B14" s="169" t="s">
        <v>9</v>
      </c>
      <c r="C14" s="160">
        <f>VLOOKUP(H6,BASE!B3:JK126,270,0)</f>
        <v>14</v>
      </c>
      <c r="D14" s="162">
        <f>C14/C10</f>
        <v>3.6486838676048996E-3</v>
      </c>
      <c r="E14" s="160">
        <f>VLOOKUP(H6,BASE!B3:KK126,296,0)</f>
        <v>57</v>
      </c>
      <c r="F14" s="162">
        <f>E14/E10</f>
        <v>3.3902337476952359E-3</v>
      </c>
      <c r="G14" s="164"/>
    </row>
    <row r="15" spans="2:12" ht="24" customHeight="1" x14ac:dyDescent="0.25"/>
    <row r="16" spans="2:12" ht="32.25" customHeight="1" x14ac:dyDescent="0.25">
      <c r="B16" s="339" t="s">
        <v>1030</v>
      </c>
      <c r="C16" s="339"/>
      <c r="D16" s="339"/>
      <c r="G16" s="165"/>
      <c r="H16" s="335" t="s">
        <v>1029</v>
      </c>
      <c r="I16" s="335"/>
      <c r="J16" s="335"/>
      <c r="K16" s="335"/>
      <c r="L16" s="335"/>
    </row>
    <row r="17" spans="2:12" x14ac:dyDescent="0.25">
      <c r="B17" s="166"/>
      <c r="C17" s="155" t="s">
        <v>803</v>
      </c>
      <c r="D17" s="155" t="s">
        <v>360</v>
      </c>
      <c r="G17" s="164"/>
      <c r="H17" s="154"/>
      <c r="I17" s="155" t="s">
        <v>803</v>
      </c>
      <c r="J17" s="155" t="s">
        <v>360</v>
      </c>
      <c r="K17" s="155" t="s">
        <v>810</v>
      </c>
      <c r="L17" s="155" t="s">
        <v>360</v>
      </c>
    </row>
    <row r="18" spans="2:12" ht="24.75" customHeight="1" x14ac:dyDescent="0.25">
      <c r="B18" s="169" t="s">
        <v>827</v>
      </c>
      <c r="C18" s="160">
        <f>VLOOKUP(H6,BASE!B3:JL126,271,0)</f>
        <v>2343</v>
      </c>
      <c r="D18" s="162">
        <f>C18/C10</f>
        <v>0.61063330727130571</v>
      </c>
      <c r="G18" s="164"/>
      <c r="H18" s="169" t="s">
        <v>837</v>
      </c>
      <c r="I18" s="160">
        <f>VLOOKUP(H6,BASE!B3:JF126,265,0)</f>
        <v>3558.3784988020802</v>
      </c>
      <c r="J18" s="162">
        <f>I18/C10</f>
        <v>0.92738558738652077</v>
      </c>
      <c r="K18" s="160">
        <f>VLOOKUP(H6,BASE!B3:KP126,301,0)</f>
        <v>15589</v>
      </c>
      <c r="L18" s="162">
        <f>K18/E10</f>
        <v>0.92719919110212334</v>
      </c>
    </row>
    <row r="19" spans="2:12" ht="24.75" customHeight="1" x14ac:dyDescent="0.25">
      <c r="B19" s="156" t="s">
        <v>828</v>
      </c>
      <c r="C19" s="159">
        <f>VLOOKUP(H6,BASE!B3:JM126,272,0)</f>
        <v>1110</v>
      </c>
      <c r="D19" s="161">
        <f>C19/C10</f>
        <v>0.28928850664581707</v>
      </c>
      <c r="G19" s="164"/>
      <c r="H19" s="156" t="s">
        <v>836</v>
      </c>
      <c r="I19" s="159">
        <f>VLOOKUP(H6,BASE!B3:JG126,266,0)</f>
        <v>266.61017939578102</v>
      </c>
      <c r="J19" s="161">
        <f>I19/C10</f>
        <v>6.9484018607188169E-2</v>
      </c>
      <c r="K19" s="159">
        <f>VLOOKUP(H6,BASE!B3:KQ126,302,0)</f>
        <v>1168</v>
      </c>
      <c r="L19" s="161">
        <f>K19/E10</f>
        <v>6.9470052935228691E-2</v>
      </c>
    </row>
    <row r="20" spans="2:12" ht="24.75" customHeight="1" x14ac:dyDescent="0.25">
      <c r="B20" s="169" t="s">
        <v>829</v>
      </c>
      <c r="C20" s="160">
        <f>VLOOKUP(H6,BASE!B3:JN126,273,0)</f>
        <v>459</v>
      </c>
      <c r="D20" s="162">
        <f>C20/C10</f>
        <v>0.11962470680218922</v>
      </c>
    </row>
    <row r="21" spans="2:12" ht="24.75" customHeight="1" x14ac:dyDescent="0.25">
      <c r="B21" s="156" t="s">
        <v>830</v>
      </c>
      <c r="C21" s="159">
        <f>VLOOKUP(H6,BASE!B3:JO126,274,0)</f>
        <v>2434</v>
      </c>
      <c r="D21" s="161">
        <f>C21/C10</f>
        <v>0.63434975241073754</v>
      </c>
      <c r="H21" s="336" t="s">
        <v>1031</v>
      </c>
      <c r="I21" s="337"/>
      <c r="J21" s="337"/>
      <c r="K21" s="337"/>
      <c r="L21" s="338"/>
    </row>
    <row r="22" spans="2:12" ht="24.75" customHeight="1" x14ac:dyDescent="0.25">
      <c r="B22" s="169" t="s">
        <v>831</v>
      </c>
      <c r="C22" s="160">
        <f>VLOOKUP(H6,BASE!B3:JP126,275,0)</f>
        <v>2766</v>
      </c>
      <c r="D22" s="162">
        <f>C22/C10</f>
        <v>0.72087568412822522</v>
      </c>
      <c r="H22" s="154"/>
      <c r="I22" s="155" t="s">
        <v>803</v>
      </c>
      <c r="J22" s="155" t="s">
        <v>360</v>
      </c>
      <c r="K22" s="155" t="s">
        <v>810</v>
      </c>
      <c r="L22" s="155" t="s">
        <v>360</v>
      </c>
    </row>
    <row r="23" spans="2:12" ht="24.75" customHeight="1" x14ac:dyDescent="0.25">
      <c r="B23" s="156" t="s">
        <v>832</v>
      </c>
      <c r="C23" s="159">
        <f>VLOOKUP(H6,BASE!B3:JQ126,276,0)</f>
        <v>155</v>
      </c>
      <c r="D23" s="161">
        <f>C23/C10</f>
        <v>4.0396142819911392E-2</v>
      </c>
      <c r="H23" s="169" t="s">
        <v>838</v>
      </c>
      <c r="I23" s="160">
        <f>VLOOKUP(H6,BASE!B3:JU126,280,0)</f>
        <v>225.06646993513704</v>
      </c>
      <c r="J23" s="162">
        <f>I23/C10</f>
        <v>5.8656885570794119E-2</v>
      </c>
      <c r="K23" s="160">
        <f>VLOOKUP(H6,BASE!B3:KL126,297,0)</f>
        <v>986</v>
      </c>
      <c r="L23" s="162">
        <f>K23/E10</f>
        <v>5.8645096056622853E-2</v>
      </c>
    </row>
    <row r="24" spans="2:12" ht="24.75" customHeight="1" x14ac:dyDescent="0.25">
      <c r="B24" s="169" t="s">
        <v>833</v>
      </c>
      <c r="C24" s="160">
        <f>VLOOKUP(H6,BASE!B3:JR126,277,0)</f>
        <v>396</v>
      </c>
      <c r="D24" s="162">
        <f>C24/C10</f>
        <v>0.10320562939796717</v>
      </c>
      <c r="H24" s="156" t="s">
        <v>839</v>
      </c>
      <c r="I24" s="159">
        <f>VLOOKUP(H6,BASE!B3:JV126,281,0)</f>
        <v>3218.0396482206511</v>
      </c>
      <c r="J24" s="161">
        <f>I24/C10</f>
        <v>0.83868638212683111</v>
      </c>
      <c r="K24" s="159">
        <f>VLOOKUP(H6,BASE!B3:KM126,298,0)</f>
        <v>14098</v>
      </c>
      <c r="L24" s="161">
        <f>K24/E10</f>
        <v>0.8385178135966217</v>
      </c>
    </row>
    <row r="25" spans="2:12" ht="24.75" customHeight="1" x14ac:dyDescent="0.25">
      <c r="B25" s="156" t="s">
        <v>834</v>
      </c>
      <c r="C25" s="159">
        <f>VLOOKUP(H6,BASE!B3:JS126,278,0)</f>
        <v>1540</v>
      </c>
      <c r="D25" s="161">
        <f>C25/C10</f>
        <v>0.40135522543653895</v>
      </c>
      <c r="H25" s="169" t="s">
        <v>840</v>
      </c>
      <c r="I25" s="160">
        <f>VLOOKUP(H6,BASE!B3:JW126,282,0)</f>
        <v>107.96799216969555</v>
      </c>
      <c r="J25" s="162">
        <f>I25/C10</f>
        <v>2.8138647946232876E-2</v>
      </c>
      <c r="K25" s="160">
        <f>VLOOKUP(H6,BASE!B3:KN126,299,0)</f>
        <v>473</v>
      </c>
      <c r="L25" s="162">
        <f>K25/E10</f>
        <v>2.8132992327365727E-2</v>
      </c>
    </row>
    <row r="26" spans="2:12" ht="24.75" customHeight="1" x14ac:dyDescent="0.25">
      <c r="B26" s="169" t="s">
        <v>835</v>
      </c>
      <c r="C26" s="160">
        <f>VLOOKUP(H6,BASE!B3:JT126,279,0)</f>
        <v>49</v>
      </c>
      <c r="D26" s="162">
        <f>C26/C10</f>
        <v>1.2770393536617148E-2</v>
      </c>
      <c r="H26" s="156" t="s">
        <v>9</v>
      </c>
      <c r="I26" s="159">
        <f>VLOOKUP(H6,BASE!B3:JX126,283,0)</f>
        <v>7.3043884765967393</v>
      </c>
      <c r="J26" s="161">
        <f>I26/C10</f>
        <v>1.9036717426626894E-3</v>
      </c>
      <c r="K26" s="159">
        <f>VLOOKUP(H6,BASE!B3:KO126,300,0)</f>
        <v>32</v>
      </c>
      <c r="L26" s="161">
        <f>K26/E10</f>
        <v>1.903289121513115E-3</v>
      </c>
    </row>
  </sheetData>
  <sheetProtection password="EBC7" sheet="1" objects="1" scenarios="1"/>
  <mergeCells count="4">
    <mergeCell ref="B8:F8"/>
    <mergeCell ref="H16:L16"/>
    <mergeCell ref="H21:L21"/>
    <mergeCell ref="B16:D16"/>
  </mergeCells>
  <hyperlinks>
    <hyperlink ref="K4" location="PRESENTACIÓN!C7" display="INICIO"/>
  </hyperlinks>
  <pageMargins left="0.43307086614173229" right="0.23622047244094491" top="0.19685039370078741" bottom="0.19685039370078741" header="0" footer="0"/>
  <pageSetup orientation="landscape" r:id="rId1"/>
  <ignoredErrors>
    <ignoredError sqref="E10:E14 K23:K26 D10 K18:K19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zoomScaleNormal="100" workbookViewId="0">
      <selection activeCell="N15" sqref="N15"/>
    </sheetView>
  </sheetViews>
  <sheetFormatPr baseColWidth="10" defaultRowHeight="15" x14ac:dyDescent="0.25"/>
  <cols>
    <col min="1" max="1" width="5.85546875" style="152" customWidth="1"/>
    <col min="2" max="2" width="17.28515625" style="152" customWidth="1"/>
    <col min="3" max="3" width="10.5703125" style="152" customWidth="1"/>
    <col min="4" max="4" width="8.5703125" style="152" customWidth="1"/>
    <col min="5" max="5" width="14.42578125" style="152" customWidth="1"/>
    <col min="6" max="6" width="9.85546875" style="152" customWidth="1"/>
    <col min="7" max="7" width="8.85546875" style="152" customWidth="1"/>
    <col min="8" max="16384" width="11.42578125" style="152"/>
  </cols>
  <sheetData>
    <row r="1" spans="2:11" ht="19.5" customHeight="1" x14ac:dyDescent="0.25"/>
    <row r="2" spans="2:11" ht="19.5" customHeight="1" x14ac:dyDescent="0.25"/>
    <row r="3" spans="2:11" ht="19.5" customHeight="1" x14ac:dyDescent="0.25"/>
    <row r="4" spans="2:11" ht="18.75" x14ac:dyDescent="0.25">
      <c r="B4" s="33" t="s">
        <v>1024</v>
      </c>
      <c r="K4" s="247" t="s">
        <v>1000</v>
      </c>
    </row>
    <row r="5" spans="2:11" ht="15.75" x14ac:dyDescent="0.25">
      <c r="B5" s="36" t="s">
        <v>384</v>
      </c>
    </row>
    <row r="6" spans="2:11" ht="22.5" customHeight="1" x14ac:dyDescent="0.3">
      <c r="B6" s="35" t="s">
        <v>1001</v>
      </c>
      <c r="G6" s="178" t="s">
        <v>8</v>
      </c>
      <c r="H6" s="179" t="str">
        <f>VLOOKUP('POBLACIÓN TOTAL'!J6,BASE!B3:B126,1,0)</f>
        <v>Acacoyagua</v>
      </c>
      <c r="I6" s="158"/>
      <c r="J6" s="158"/>
      <c r="K6" s="158"/>
    </row>
    <row r="7" spans="2:11" ht="21.75" customHeight="1" x14ac:dyDescent="0.25"/>
    <row r="8" spans="2:11" ht="30" customHeight="1" x14ac:dyDescent="0.25">
      <c r="B8" s="339" t="s">
        <v>1032</v>
      </c>
      <c r="C8" s="339"/>
      <c r="D8" s="339"/>
      <c r="E8" s="339"/>
      <c r="F8" s="339"/>
      <c r="G8" s="339"/>
    </row>
    <row r="9" spans="2:11" x14ac:dyDescent="0.25">
      <c r="B9" s="326" t="s">
        <v>10</v>
      </c>
      <c r="C9" s="155" t="s">
        <v>803</v>
      </c>
      <c r="D9" s="155" t="s">
        <v>360</v>
      </c>
      <c r="E9" s="326" t="s">
        <v>10</v>
      </c>
      <c r="F9" s="155" t="s">
        <v>803</v>
      </c>
      <c r="G9" s="155" t="s">
        <v>360</v>
      </c>
    </row>
    <row r="10" spans="2:11" x14ac:dyDescent="0.25">
      <c r="B10" s="327"/>
      <c r="C10" s="159">
        <f>VLOOKUP(H6,BASE!B3:LX126,335,0)</f>
        <v>3837</v>
      </c>
      <c r="D10" s="161">
        <f>C10/C10</f>
        <v>1</v>
      </c>
      <c r="E10" s="327"/>
      <c r="F10" s="159">
        <f>VLOOKUP(H6,BASE!B3:LX126,335,0)</f>
        <v>3837</v>
      </c>
      <c r="G10" s="161">
        <f>F10/F10</f>
        <v>1</v>
      </c>
    </row>
    <row r="11" spans="2:11" x14ac:dyDescent="0.25">
      <c r="B11" s="169" t="s">
        <v>859</v>
      </c>
      <c r="C11" s="160">
        <f>VLOOKUP(H6,BASE!B3:HY126,232,0)</f>
        <v>265</v>
      </c>
      <c r="D11" s="162">
        <f>C11/C10</f>
        <v>6.9064373208235608E-2</v>
      </c>
      <c r="E11" s="169" t="s">
        <v>876</v>
      </c>
      <c r="F11" s="160">
        <f>VLOOKUP(H6,BASE!B3:IH126,241,0)</f>
        <v>598</v>
      </c>
      <c r="G11" s="162">
        <f>F11/F10</f>
        <v>0.15585092520198071</v>
      </c>
    </row>
    <row r="12" spans="2:11" x14ac:dyDescent="0.25">
      <c r="B12" s="156" t="s">
        <v>860</v>
      </c>
      <c r="C12" s="159">
        <f>VLOOKUP(H6,BASE!B3:HZ126,233,0)</f>
        <v>456</v>
      </c>
      <c r="D12" s="161">
        <f>C12/C10</f>
        <v>0.11884284597341674</v>
      </c>
      <c r="E12" s="156" t="s">
        <v>868</v>
      </c>
      <c r="F12" s="159">
        <f>VLOOKUP(H6,BASE!B3:II126,242,0)</f>
        <v>1253</v>
      </c>
      <c r="G12" s="161">
        <f>F12/F10</f>
        <v>0.32655720615063855</v>
      </c>
    </row>
    <row r="13" spans="2:11" x14ac:dyDescent="0.25">
      <c r="B13" s="169" t="s">
        <v>861</v>
      </c>
      <c r="C13" s="160">
        <f>VLOOKUP(H6,BASE!B3:IA126,234,0)</f>
        <v>666</v>
      </c>
      <c r="D13" s="162">
        <f>C13/C10</f>
        <v>0.17357310398749023</v>
      </c>
      <c r="E13" s="169" t="s">
        <v>869</v>
      </c>
      <c r="F13" s="160">
        <f>VLOOKUP(H6,BASE!B3:IJ126,243,0)</f>
        <v>1155</v>
      </c>
      <c r="G13" s="162">
        <f>F13/F10</f>
        <v>0.30101641907740423</v>
      </c>
    </row>
    <row r="14" spans="2:11" x14ac:dyDescent="0.25">
      <c r="B14" s="156" t="s">
        <v>862</v>
      </c>
      <c r="C14" s="159">
        <f>VLOOKUP(H6,BASE!B3:IB126,235,0)</f>
        <v>747</v>
      </c>
      <c r="D14" s="161">
        <f>C14/C10</f>
        <v>0.19468334636434714</v>
      </c>
      <c r="E14" s="156" t="s">
        <v>870</v>
      </c>
      <c r="F14" s="159">
        <f>VLOOKUP(H6,BASE!B3:IK126,244,0)</f>
        <v>533</v>
      </c>
      <c r="G14" s="161">
        <f>F14/F10</f>
        <v>0.13891060724524368</v>
      </c>
    </row>
    <row r="15" spans="2:11" x14ac:dyDescent="0.25">
      <c r="B15" s="169" t="s">
        <v>863</v>
      </c>
      <c r="C15" s="160">
        <f>VLOOKUP(H6,BASE!B3:IC126,236,0)</f>
        <v>711</v>
      </c>
      <c r="D15" s="162">
        <f>C15/C10</f>
        <v>0.1853010164190774</v>
      </c>
      <c r="E15" s="169" t="s">
        <v>871</v>
      </c>
      <c r="F15" s="160">
        <f>VLOOKUP(H6,BASE!B3:IL126,245,0)</f>
        <v>188</v>
      </c>
      <c r="G15" s="162">
        <f>F15/F10</f>
        <v>4.8996611936408654E-2</v>
      </c>
    </row>
    <row r="16" spans="2:11" x14ac:dyDescent="0.25">
      <c r="B16" s="156" t="s">
        <v>864</v>
      </c>
      <c r="C16" s="159">
        <f>VLOOKUP(H6,BASE!B3:ID126,237,0)</f>
        <v>473</v>
      </c>
      <c r="D16" s="161">
        <f>C16/C10</f>
        <v>0.12327339066979411</v>
      </c>
      <c r="E16" s="156" t="s">
        <v>872</v>
      </c>
      <c r="F16" s="159">
        <f>VLOOKUP(H6,BASE!B3:IM126,246,0)</f>
        <v>60</v>
      </c>
      <c r="G16" s="161">
        <f>F16/F10</f>
        <v>1.5637216575449569E-2</v>
      </c>
    </row>
    <row r="17" spans="2:7" x14ac:dyDescent="0.25">
      <c r="B17" s="169" t="s">
        <v>865</v>
      </c>
      <c r="C17" s="160">
        <f>VLOOKUP(H6,BASE!B3:IE126,238,0)</f>
        <v>226</v>
      </c>
      <c r="D17" s="162">
        <f>C17/C10</f>
        <v>5.8900182434193378E-2</v>
      </c>
      <c r="E17" s="169" t="s">
        <v>873</v>
      </c>
      <c r="F17" s="160">
        <f>VLOOKUP(H6,BASE!B3:IN126,247,0)</f>
        <v>16</v>
      </c>
      <c r="G17" s="162">
        <f>F17/F10</f>
        <v>4.1699244201198853E-3</v>
      </c>
    </row>
    <row r="18" spans="2:7" x14ac:dyDescent="0.25">
      <c r="B18" s="156" t="s">
        <v>866</v>
      </c>
      <c r="C18" s="159">
        <f>VLOOKUP(H6,BASE!B3:IF126,239,0)</f>
        <v>138</v>
      </c>
      <c r="D18" s="161">
        <f>C18/C10</f>
        <v>3.5965598123534011E-2</v>
      </c>
      <c r="E18" s="156" t="s">
        <v>874</v>
      </c>
      <c r="F18" s="159">
        <f>VLOOKUP(H6,BASE!B3:IO126,248,0)</f>
        <v>5</v>
      </c>
      <c r="G18" s="161">
        <f>F18/F10</f>
        <v>1.3031013812874641E-3</v>
      </c>
    </row>
    <row r="19" spans="2:7" ht="24" customHeight="1" x14ac:dyDescent="0.25">
      <c r="B19" s="169" t="s">
        <v>867</v>
      </c>
      <c r="C19" s="160">
        <f>VLOOKUP(H6,BASE!B3:IG126,240,0)</f>
        <v>155</v>
      </c>
      <c r="D19" s="162">
        <f>C19/C10</f>
        <v>4.0396142819911392E-2</v>
      </c>
      <c r="E19" s="169" t="s">
        <v>875</v>
      </c>
      <c r="F19" s="160">
        <f>VLOOKUP(H6,BASE!B3:IP126,249,0)</f>
        <v>3</v>
      </c>
      <c r="G19" s="162">
        <f>F19/F10</f>
        <v>7.8186082877247849E-4</v>
      </c>
    </row>
    <row r="22" spans="2:7" ht="25.5" customHeight="1" x14ac:dyDescent="0.25">
      <c r="B22" s="339" t="s">
        <v>1033</v>
      </c>
      <c r="C22" s="339"/>
      <c r="D22" s="339"/>
      <c r="E22" s="180"/>
      <c r="F22" s="180"/>
    </row>
    <row r="23" spans="2:7" x14ac:dyDescent="0.25">
      <c r="B23" s="154"/>
      <c r="C23" s="155" t="s">
        <v>803</v>
      </c>
      <c r="D23" s="155" t="s">
        <v>360</v>
      </c>
      <c r="E23" s="164"/>
      <c r="F23" s="164"/>
    </row>
    <row r="24" spans="2:7" x14ac:dyDescent="0.25">
      <c r="B24" s="177" t="s">
        <v>10</v>
      </c>
      <c r="C24" s="160">
        <f>VLOOKUP(H6,BASE!B3:LX126,335,0)</f>
        <v>3837</v>
      </c>
      <c r="D24" s="162">
        <f>C24/C24</f>
        <v>1</v>
      </c>
      <c r="E24" s="164"/>
      <c r="F24" s="164"/>
    </row>
    <row r="25" spans="2:7" x14ac:dyDescent="0.25">
      <c r="B25" s="156" t="s">
        <v>886</v>
      </c>
      <c r="C25" s="159">
        <f>VLOOKUP(H6,BASE!B3:IQ126,250,0)</f>
        <v>1994</v>
      </c>
      <c r="D25" s="161">
        <f>C25/C24</f>
        <v>0.51967683085744076</v>
      </c>
      <c r="E25" s="164"/>
      <c r="F25" s="164"/>
    </row>
    <row r="26" spans="2:7" x14ac:dyDescent="0.25">
      <c r="B26" s="169" t="s">
        <v>887</v>
      </c>
      <c r="C26" s="160">
        <f>VLOOKUP(H6,BASE!B3:IR126,251,0)</f>
        <v>1401</v>
      </c>
      <c r="D26" s="162">
        <f>C26/C24</f>
        <v>0.36512900703674744</v>
      </c>
      <c r="E26" s="164"/>
      <c r="F26" s="164"/>
    </row>
    <row r="27" spans="2:7" x14ac:dyDescent="0.25">
      <c r="B27" s="156" t="s">
        <v>888</v>
      </c>
      <c r="C27" s="159">
        <f>VLOOKUP(H6,BASE!B3:IS126,252,0)</f>
        <v>348</v>
      </c>
      <c r="D27" s="161">
        <f>C27/C24</f>
        <v>9.06958561376075E-2</v>
      </c>
      <c r="E27" s="164"/>
      <c r="F27" s="164"/>
    </row>
    <row r="28" spans="2:7" x14ac:dyDescent="0.25">
      <c r="B28" s="169" t="s">
        <v>889</v>
      </c>
      <c r="C28" s="160">
        <f>VLOOKUP(H6,BASE!B3:IT126,253,0)</f>
        <v>64</v>
      </c>
      <c r="D28" s="162">
        <f>C28/C24</f>
        <v>1.6679697680479541E-2</v>
      </c>
      <c r="E28" s="164"/>
      <c r="F28" s="164"/>
    </row>
    <row r="29" spans="2:7" ht="24" x14ac:dyDescent="0.25">
      <c r="B29" s="156" t="s">
        <v>890</v>
      </c>
      <c r="C29" s="159">
        <f>VLOOKUP(H6,BASE!B3:IU126,254,0)</f>
        <v>18</v>
      </c>
      <c r="D29" s="161">
        <f>C29/C24</f>
        <v>4.6911649726348714E-3</v>
      </c>
      <c r="E29" s="164"/>
      <c r="F29" s="164"/>
    </row>
  </sheetData>
  <sheetProtection password="EBC7" sheet="1" objects="1" scenarios="1"/>
  <mergeCells count="4">
    <mergeCell ref="E9:E10"/>
    <mergeCell ref="B9:B10"/>
    <mergeCell ref="B8:G8"/>
    <mergeCell ref="B22:D22"/>
  </mergeCells>
  <hyperlinks>
    <hyperlink ref="K4" location="PRESENTACIÓN!C7" display="INICIO"/>
  </hyperlinks>
  <pageMargins left="0.62992125984251968" right="0.23622047244094491" top="0.19685039370078741" bottom="0.19685039370078741" header="0" footer="0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6"/>
  <sheetViews>
    <sheetView workbookViewId="0">
      <pane xSplit="2" ySplit="2" topLeftCell="LF92" activePane="bottomRight" state="frozen"/>
      <selection pane="topRight" activeCell="C1" sqref="C1"/>
      <selection pane="bottomLeft" activeCell="A3" sqref="A3"/>
      <selection pane="bottomRight" activeCell="LY3" sqref="LY3"/>
    </sheetView>
  </sheetViews>
  <sheetFormatPr baseColWidth="10" defaultRowHeight="15" x14ac:dyDescent="0.25"/>
  <cols>
    <col min="2" max="2" width="26.5703125" bestFit="1" customWidth="1"/>
    <col min="3" max="5" width="13" bestFit="1" customWidth="1"/>
    <col min="26" max="26" width="11.42578125" style="7"/>
    <col min="41" max="41" width="11.42578125" style="7"/>
    <col min="169" max="170" width="11.42578125" style="7"/>
    <col min="177" max="177" width="11.42578125" style="7"/>
    <col min="207" max="207" width="11.85546875" bestFit="1" customWidth="1"/>
    <col min="222" max="222" width="11.85546875" bestFit="1" customWidth="1"/>
    <col min="233" max="233" width="11.85546875" bestFit="1" customWidth="1"/>
  </cols>
  <sheetData>
    <row r="1" spans="1:16384" ht="60" x14ac:dyDescent="0.25">
      <c r="C1" s="3" t="s">
        <v>286</v>
      </c>
      <c r="D1" s="3" t="s">
        <v>289</v>
      </c>
      <c r="E1" s="3" t="s">
        <v>290</v>
      </c>
      <c r="F1" s="3" t="s">
        <v>293</v>
      </c>
      <c r="G1" s="3" t="s">
        <v>294</v>
      </c>
      <c r="H1" s="3" t="s">
        <v>298</v>
      </c>
      <c r="I1" s="3" t="s">
        <v>299</v>
      </c>
      <c r="J1" s="3" t="s">
        <v>302</v>
      </c>
      <c r="K1" s="3" t="s">
        <v>303</v>
      </c>
      <c r="L1" s="3" t="s">
        <v>357</v>
      </c>
      <c r="M1" s="3" t="s">
        <v>356</v>
      </c>
      <c r="N1" s="3" t="s">
        <v>355</v>
      </c>
      <c r="O1" s="3" t="s">
        <v>354</v>
      </c>
      <c r="P1" s="3" t="s">
        <v>353</v>
      </c>
      <c r="Q1" s="3" t="s">
        <v>352</v>
      </c>
      <c r="R1" s="3" t="s">
        <v>351</v>
      </c>
      <c r="S1" s="3" t="s">
        <v>350</v>
      </c>
      <c r="T1" s="3" t="s">
        <v>349</v>
      </c>
      <c r="U1" s="3" t="s">
        <v>348</v>
      </c>
      <c r="V1" s="3" t="s">
        <v>347</v>
      </c>
      <c r="W1" s="3" t="s">
        <v>346</v>
      </c>
      <c r="X1" s="3" t="s">
        <v>345</v>
      </c>
      <c r="Y1" s="3" t="s">
        <v>344</v>
      </c>
      <c r="Z1" s="3" t="s">
        <v>389</v>
      </c>
      <c r="AA1" s="3" t="s">
        <v>343</v>
      </c>
      <c r="AB1" s="3" t="s">
        <v>342</v>
      </c>
      <c r="AC1" s="3" t="s">
        <v>341</v>
      </c>
      <c r="AD1" s="3" t="s">
        <v>340</v>
      </c>
      <c r="AE1" s="3" t="s">
        <v>339</v>
      </c>
      <c r="AF1" s="3" t="s">
        <v>338</v>
      </c>
      <c r="AG1" s="3" t="s">
        <v>337</v>
      </c>
      <c r="AH1" s="3" t="s">
        <v>336</v>
      </c>
      <c r="AI1" s="3" t="s">
        <v>335</v>
      </c>
      <c r="AJ1" s="3" t="s">
        <v>334</v>
      </c>
      <c r="AK1" s="3" t="s">
        <v>333</v>
      </c>
      <c r="AL1" s="3" t="s">
        <v>332</v>
      </c>
      <c r="AM1" s="3" t="s">
        <v>331</v>
      </c>
      <c r="AN1" s="3" t="s">
        <v>413</v>
      </c>
      <c r="AO1" s="3" t="s">
        <v>412</v>
      </c>
      <c r="AP1" s="3" t="s">
        <v>410</v>
      </c>
      <c r="AQ1" s="3" t="s">
        <v>408</v>
      </c>
      <c r="AR1" s="3" t="s">
        <v>406</v>
      </c>
      <c r="AS1" s="3" t="s">
        <v>403</v>
      </c>
      <c r="AT1" s="3" t="s">
        <v>401</v>
      </c>
      <c r="AU1" s="18" t="s">
        <v>400</v>
      </c>
      <c r="AV1" s="3" t="s">
        <v>399</v>
      </c>
      <c r="AW1" s="3" t="s">
        <v>398</v>
      </c>
      <c r="AX1" s="3" t="s">
        <v>397</v>
      </c>
      <c r="AY1" s="3" t="s">
        <v>396</v>
      </c>
      <c r="AZ1" s="18" t="s">
        <v>418</v>
      </c>
      <c r="BA1" s="18" t="s">
        <v>416</v>
      </c>
      <c r="BB1" s="18" t="s">
        <v>422</v>
      </c>
      <c r="BC1" s="18" t="s">
        <v>423</v>
      </c>
      <c r="BD1" s="18" t="s">
        <v>424</v>
      </c>
      <c r="BE1" s="18" t="s">
        <v>426</v>
      </c>
      <c r="BF1" s="18" t="s">
        <v>428</v>
      </c>
      <c r="BG1" s="18" t="s">
        <v>430</v>
      </c>
      <c r="BH1" s="18" t="s">
        <v>432</v>
      </c>
      <c r="BI1" s="18" t="s">
        <v>434</v>
      </c>
      <c r="BJ1" s="18" t="s">
        <v>436</v>
      </c>
      <c r="BK1" s="18" t="s">
        <v>438</v>
      </c>
      <c r="BL1" s="18" t="s">
        <v>440</v>
      </c>
      <c r="BM1" s="18" t="s">
        <v>442</v>
      </c>
      <c r="BN1" s="18" t="s">
        <v>444</v>
      </c>
      <c r="BO1" s="18" t="s">
        <v>446</v>
      </c>
      <c r="BP1" s="18" t="s">
        <v>448</v>
      </c>
      <c r="BQ1" s="18" t="s">
        <v>452</v>
      </c>
      <c r="BR1" s="18" t="s">
        <v>454</v>
      </c>
      <c r="BS1" s="18" t="s">
        <v>450</v>
      </c>
      <c r="BT1" s="18" t="s">
        <v>456</v>
      </c>
      <c r="BU1" s="18" t="s">
        <v>458</v>
      </c>
      <c r="BV1" s="18" t="s">
        <v>460</v>
      </c>
      <c r="BW1" s="18" t="s">
        <v>462</v>
      </c>
      <c r="BX1" s="18" t="s">
        <v>464</v>
      </c>
      <c r="BY1" s="18" t="s">
        <v>466</v>
      </c>
      <c r="BZ1" s="18" t="s">
        <v>468</v>
      </c>
      <c r="CA1" s="18" t="s">
        <v>470</v>
      </c>
      <c r="CB1" s="18" t="s">
        <v>472</v>
      </c>
      <c r="CC1" s="18" t="s">
        <v>475</v>
      </c>
      <c r="CD1" s="18" t="s">
        <v>477</v>
      </c>
      <c r="CE1" s="18" t="s">
        <v>478</v>
      </c>
      <c r="CF1" s="18" t="s">
        <v>479</v>
      </c>
      <c r="CG1" s="18" t="s">
        <v>480</v>
      </c>
      <c r="CH1" s="67" t="s">
        <v>503</v>
      </c>
      <c r="CI1" s="67" t="s">
        <v>504</v>
      </c>
      <c r="CJ1" s="67" t="s">
        <v>507</v>
      </c>
      <c r="CK1" s="67" t="s">
        <v>509</v>
      </c>
      <c r="CL1" s="67" t="s">
        <v>512</v>
      </c>
      <c r="CM1" s="67" t="s">
        <v>515</v>
      </c>
      <c r="CN1" s="67" t="s">
        <v>517</v>
      </c>
      <c r="CO1" s="67" t="s">
        <v>519</v>
      </c>
      <c r="CP1" s="67" t="s">
        <v>521</v>
      </c>
      <c r="CQ1" s="67" t="s">
        <v>523</v>
      </c>
      <c r="CR1" s="67" t="s">
        <v>525</v>
      </c>
      <c r="CS1" s="67" t="s">
        <v>526</v>
      </c>
      <c r="CT1" s="67" t="s">
        <v>528</v>
      </c>
      <c r="CU1" s="67" t="s">
        <v>530</v>
      </c>
      <c r="CV1" s="67" t="s">
        <v>532</v>
      </c>
      <c r="CW1" s="67" t="s">
        <v>534</v>
      </c>
      <c r="CX1" s="67" t="s">
        <v>537</v>
      </c>
      <c r="CY1" s="67" t="s">
        <v>538</v>
      </c>
      <c r="CZ1" s="67" t="s">
        <v>540</v>
      </c>
      <c r="DA1" s="67" t="s">
        <v>542</v>
      </c>
      <c r="DB1" s="67" t="s">
        <v>544</v>
      </c>
      <c r="DC1" s="67" t="s">
        <v>546</v>
      </c>
      <c r="DD1" s="83" t="s">
        <v>578</v>
      </c>
      <c r="DE1" s="83" t="s">
        <v>580</v>
      </c>
      <c r="DF1" s="83" t="s">
        <v>582</v>
      </c>
      <c r="DG1" s="83" t="s">
        <v>584</v>
      </c>
      <c r="DH1" s="83" t="s">
        <v>586</v>
      </c>
      <c r="DI1" s="83" t="s">
        <v>588</v>
      </c>
      <c r="DJ1" s="83" t="s">
        <v>590</v>
      </c>
      <c r="DK1" s="83" t="s">
        <v>592</v>
      </c>
      <c r="DL1" s="67" t="s">
        <v>594</v>
      </c>
      <c r="DM1" s="67" t="s">
        <v>596</v>
      </c>
      <c r="DN1" s="67" t="s">
        <v>598</v>
      </c>
      <c r="DO1" s="67" t="s">
        <v>600</v>
      </c>
      <c r="DP1" s="67" t="s">
        <v>602</v>
      </c>
      <c r="DQ1" s="67" t="s">
        <v>604</v>
      </c>
      <c r="DR1" s="67" t="s">
        <v>606</v>
      </c>
      <c r="DS1" s="67" t="s">
        <v>608</v>
      </c>
      <c r="DT1" s="18" t="s">
        <v>617</v>
      </c>
      <c r="DU1" s="18" t="s">
        <v>618</v>
      </c>
      <c r="DV1" s="18" t="s">
        <v>621</v>
      </c>
      <c r="DW1" s="18" t="s">
        <v>623</v>
      </c>
      <c r="DX1" s="18" t="s">
        <v>625</v>
      </c>
      <c r="DY1" s="18" t="s">
        <v>631</v>
      </c>
      <c r="DZ1" s="18" t="s">
        <v>633</v>
      </c>
      <c r="EA1" s="18" t="s">
        <v>627</v>
      </c>
      <c r="EB1" s="18" t="s">
        <v>629</v>
      </c>
      <c r="EC1" s="18" t="s">
        <v>635</v>
      </c>
      <c r="ED1" s="18" t="s">
        <v>637</v>
      </c>
      <c r="EE1" s="18" t="s">
        <v>639</v>
      </c>
      <c r="EF1" s="18" t="s">
        <v>641</v>
      </c>
      <c r="EG1" s="18" t="s">
        <v>643</v>
      </c>
      <c r="EH1" s="109" t="s">
        <v>667</v>
      </c>
      <c r="EI1" s="109" t="s">
        <v>655</v>
      </c>
      <c r="EJ1" s="109" t="s">
        <v>656</v>
      </c>
      <c r="EK1" s="109" t="s">
        <v>657</v>
      </c>
      <c r="EL1" s="109" t="s">
        <v>658</v>
      </c>
      <c r="EM1" s="109" t="s">
        <v>659</v>
      </c>
      <c r="EN1" s="109" t="s">
        <v>660</v>
      </c>
      <c r="EO1" s="18" t="s">
        <v>670</v>
      </c>
      <c r="EP1" s="18" t="s">
        <v>671</v>
      </c>
      <c r="EQ1" s="18" t="s">
        <v>672</v>
      </c>
      <c r="ER1" s="18" t="s">
        <v>673</v>
      </c>
      <c r="ES1" s="18" t="s">
        <v>674</v>
      </c>
      <c r="ET1" s="18" t="s">
        <v>675</v>
      </c>
      <c r="EU1" s="18" t="s">
        <v>676</v>
      </c>
      <c r="EV1" s="18" t="s">
        <v>677</v>
      </c>
      <c r="EW1" s="124" t="s">
        <v>709</v>
      </c>
      <c r="EX1" s="124" t="s">
        <v>710</v>
      </c>
      <c r="EY1" s="124" t="s">
        <v>711</v>
      </c>
      <c r="EZ1" s="124" t="s">
        <v>712</v>
      </c>
      <c r="FA1" s="124" t="s">
        <v>713</v>
      </c>
      <c r="FB1" s="125" t="s">
        <v>714</v>
      </c>
      <c r="FC1" s="125" t="s">
        <v>715</v>
      </c>
      <c r="FD1" s="125" t="s">
        <v>716</v>
      </c>
      <c r="FE1" s="125" t="s">
        <v>717</v>
      </c>
      <c r="FF1" s="125" t="s">
        <v>718</v>
      </c>
      <c r="FG1" s="125" t="s">
        <v>720</v>
      </c>
      <c r="FH1" s="125" t="s">
        <v>719</v>
      </c>
      <c r="FI1" s="3" t="s">
        <v>728</v>
      </c>
      <c r="FJ1" s="3" t="s">
        <v>729</v>
      </c>
      <c r="FK1" s="3" t="s">
        <v>730</v>
      </c>
      <c r="FL1" s="3" t="s">
        <v>731</v>
      </c>
      <c r="FM1" s="125" t="s">
        <v>753</v>
      </c>
      <c r="FN1" s="125" t="s">
        <v>754</v>
      </c>
      <c r="FO1" s="125" t="s">
        <v>746</v>
      </c>
      <c r="FP1" s="125" t="s">
        <v>747</v>
      </c>
      <c r="FQ1" s="125" t="s">
        <v>748</v>
      </c>
      <c r="FR1" s="125" t="s">
        <v>749</v>
      </c>
      <c r="FS1" s="125" t="s">
        <v>750</v>
      </c>
      <c r="FT1" s="125" t="s">
        <v>751</v>
      </c>
      <c r="FU1" s="125" t="s">
        <v>755</v>
      </c>
      <c r="FV1" s="125" t="s">
        <v>752</v>
      </c>
      <c r="FW1" s="124" t="s">
        <v>756</v>
      </c>
      <c r="FX1" s="124" t="s">
        <v>757</v>
      </c>
      <c r="FY1" s="124" t="s">
        <v>758</v>
      </c>
      <c r="FZ1" s="124" t="s">
        <v>759</v>
      </c>
      <c r="GA1" s="124" t="s">
        <v>760</v>
      </c>
      <c r="GB1" s="124" t="s">
        <v>761</v>
      </c>
      <c r="GC1" s="124" t="s">
        <v>762</v>
      </c>
      <c r="GD1" s="124" t="s">
        <v>763</v>
      </c>
      <c r="GE1" s="124" t="s">
        <v>764</v>
      </c>
      <c r="GF1" s="124" t="s">
        <v>765</v>
      </c>
      <c r="GG1" s="18" t="s">
        <v>802</v>
      </c>
      <c r="GH1" s="18" t="s">
        <v>801</v>
      </c>
      <c r="GI1" s="18" t="s">
        <v>800</v>
      </c>
      <c r="GJ1" s="18" t="s">
        <v>799</v>
      </c>
      <c r="GK1" s="18" t="s">
        <v>798</v>
      </c>
      <c r="GL1" s="18" t="s">
        <v>797</v>
      </c>
      <c r="GM1" s="18" t="s">
        <v>796</v>
      </c>
      <c r="GN1" s="18" t="s">
        <v>795</v>
      </c>
      <c r="GO1" s="18" t="s">
        <v>794</v>
      </c>
      <c r="GP1" s="18" t="s">
        <v>793</v>
      </c>
      <c r="GQ1" s="18" t="s">
        <v>792</v>
      </c>
      <c r="GR1" s="18" t="s">
        <v>791</v>
      </c>
      <c r="GS1" s="18" t="s">
        <v>790</v>
      </c>
      <c r="GT1" s="18" t="s">
        <v>789</v>
      </c>
      <c r="GU1" s="18" t="s">
        <v>788</v>
      </c>
      <c r="GV1" s="18" t="s">
        <v>787</v>
      </c>
      <c r="GW1" s="18" t="s">
        <v>786</v>
      </c>
      <c r="GX1" s="18" t="s">
        <v>785</v>
      </c>
      <c r="GY1" s="3" t="s">
        <v>784</v>
      </c>
      <c r="GZ1" s="3" t="s">
        <v>783</v>
      </c>
      <c r="HA1" s="3" t="s">
        <v>782</v>
      </c>
      <c r="HB1" s="3" t="s">
        <v>781</v>
      </c>
      <c r="HC1" s="3" t="s">
        <v>780</v>
      </c>
      <c r="HD1" s="3" t="s">
        <v>779</v>
      </c>
      <c r="HE1" s="3" t="s">
        <v>778</v>
      </c>
      <c r="HF1" s="3" t="s">
        <v>777</v>
      </c>
      <c r="HG1" s="3" t="s">
        <v>776</v>
      </c>
      <c r="HH1" s="3" t="s">
        <v>775</v>
      </c>
      <c r="HI1" s="3" t="s">
        <v>774</v>
      </c>
      <c r="HJ1" s="3" t="s">
        <v>773</v>
      </c>
      <c r="HK1" s="3" t="s">
        <v>772</v>
      </c>
      <c r="HL1" s="3" t="s">
        <v>771</v>
      </c>
      <c r="HM1" s="3" t="s">
        <v>770</v>
      </c>
      <c r="HN1" s="3" t="s">
        <v>769</v>
      </c>
      <c r="HO1" s="3" t="s">
        <v>768</v>
      </c>
      <c r="HP1" s="3" t="s">
        <v>767</v>
      </c>
      <c r="HY1" s="3"/>
      <c r="HZ1" s="3"/>
      <c r="IA1" s="3"/>
      <c r="IB1" s="3"/>
      <c r="IC1" s="3"/>
      <c r="ID1" s="3"/>
      <c r="IE1" s="3"/>
      <c r="IF1" s="3"/>
      <c r="IG1" s="3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pans="1:16384" ht="75" x14ac:dyDescent="0.25">
      <c r="A2" t="s">
        <v>36</v>
      </c>
      <c r="B2" t="s">
        <v>37</v>
      </c>
      <c r="C2" t="s">
        <v>287</v>
      </c>
      <c r="D2" t="s">
        <v>288</v>
      </c>
      <c r="E2" t="s">
        <v>291</v>
      </c>
      <c r="F2" t="s">
        <v>292</v>
      </c>
      <c r="G2" t="s">
        <v>295</v>
      </c>
      <c r="H2" t="s">
        <v>296</v>
      </c>
      <c r="I2" t="s">
        <v>297</v>
      </c>
      <c r="J2" t="s">
        <v>300</v>
      </c>
      <c r="K2" t="s">
        <v>301</v>
      </c>
      <c r="L2" t="s">
        <v>304</v>
      </c>
      <c r="M2" t="s">
        <v>305</v>
      </c>
      <c r="N2" t="s">
        <v>306</v>
      </c>
      <c r="O2" t="s">
        <v>307</v>
      </c>
      <c r="P2" t="s">
        <v>308</v>
      </c>
      <c r="Q2" t="s">
        <v>309</v>
      </c>
      <c r="R2" t="s">
        <v>310</v>
      </c>
      <c r="S2" t="s">
        <v>311</v>
      </c>
      <c r="T2" t="s">
        <v>312</v>
      </c>
      <c r="U2" t="s">
        <v>313</v>
      </c>
      <c r="V2" t="s">
        <v>314</v>
      </c>
      <c r="W2" t="s">
        <v>315</v>
      </c>
      <c r="X2" t="s">
        <v>316</v>
      </c>
      <c r="Y2" t="s">
        <v>317</v>
      </c>
      <c r="Z2" s="7" t="s">
        <v>388</v>
      </c>
      <c r="AA2" t="s">
        <v>318</v>
      </c>
      <c r="AB2" t="s">
        <v>319</v>
      </c>
      <c r="AC2" t="s">
        <v>320</v>
      </c>
      <c r="AD2" t="s">
        <v>321</v>
      </c>
      <c r="AE2" t="s">
        <v>322</v>
      </c>
      <c r="AF2" t="s">
        <v>323</v>
      </c>
      <c r="AG2" t="s">
        <v>324</v>
      </c>
      <c r="AH2" t="s">
        <v>325</v>
      </c>
      <c r="AI2" t="s">
        <v>326</v>
      </c>
      <c r="AJ2" t="s">
        <v>327</v>
      </c>
      <c r="AK2" t="s">
        <v>328</v>
      </c>
      <c r="AL2" t="s">
        <v>329</v>
      </c>
      <c r="AM2" t="s">
        <v>330</v>
      </c>
      <c r="AN2" t="s">
        <v>414</v>
      </c>
      <c r="AO2" s="7" t="s">
        <v>411</v>
      </c>
      <c r="AP2" s="3" t="s">
        <v>409</v>
      </c>
      <c r="AQ2" s="3" t="s">
        <v>407</v>
      </c>
      <c r="AR2" s="3" t="s">
        <v>405</v>
      </c>
      <c r="AS2" s="3" t="s">
        <v>404</v>
      </c>
      <c r="AT2" s="3" t="s">
        <v>402</v>
      </c>
      <c r="AU2" s="18" t="s">
        <v>391</v>
      </c>
      <c r="AV2" s="3" t="s">
        <v>392</v>
      </c>
      <c r="AW2" s="3" t="s">
        <v>393</v>
      </c>
      <c r="AX2" s="3" t="s">
        <v>394</v>
      </c>
      <c r="AY2" s="3" t="s">
        <v>395</v>
      </c>
      <c r="AZ2" s="18" t="s">
        <v>419</v>
      </c>
      <c r="BA2" s="18" t="s">
        <v>417</v>
      </c>
      <c r="BB2" s="18" t="s">
        <v>420</v>
      </c>
      <c r="BC2" s="18" t="s">
        <v>421</v>
      </c>
      <c r="BD2" s="18" t="s">
        <v>425</v>
      </c>
      <c r="BE2" s="18" t="s">
        <v>427</v>
      </c>
      <c r="BF2" s="18" t="s">
        <v>429</v>
      </c>
      <c r="BG2" s="18" t="s">
        <v>431</v>
      </c>
      <c r="BH2" s="18" t="s">
        <v>433</v>
      </c>
      <c r="BI2" s="18" t="s">
        <v>435</v>
      </c>
      <c r="BJ2" s="18" t="s">
        <v>437</v>
      </c>
      <c r="BK2" s="18" t="s">
        <v>439</v>
      </c>
      <c r="BL2" s="18" t="s">
        <v>441</v>
      </c>
      <c r="BM2" s="18" t="s">
        <v>443</v>
      </c>
      <c r="BN2" s="18" t="s">
        <v>445</v>
      </c>
      <c r="BO2" s="18" t="s">
        <v>447</v>
      </c>
      <c r="BP2" s="18" t="s">
        <v>449</v>
      </c>
      <c r="BQ2" s="18" t="s">
        <v>453</v>
      </c>
      <c r="BR2" s="18" t="s">
        <v>455</v>
      </c>
      <c r="BS2" s="18" t="s">
        <v>451</v>
      </c>
      <c r="BT2" s="18" t="s">
        <v>457</v>
      </c>
      <c r="BU2" s="18" t="s">
        <v>459</v>
      </c>
      <c r="BV2" s="18" t="s">
        <v>461</v>
      </c>
      <c r="BW2" s="18" t="s">
        <v>463</v>
      </c>
      <c r="BX2" s="18" t="s">
        <v>465</v>
      </c>
      <c r="BY2" s="18" t="s">
        <v>467</v>
      </c>
      <c r="BZ2" s="18" t="s">
        <v>469</v>
      </c>
      <c r="CA2" s="18" t="s">
        <v>471</v>
      </c>
      <c r="CB2" s="18" t="s">
        <v>473</v>
      </c>
      <c r="CC2" s="18" t="s">
        <v>474</v>
      </c>
      <c r="CD2" s="18" t="s">
        <v>481</v>
      </c>
      <c r="CE2" s="18" t="s">
        <v>482</v>
      </c>
      <c r="CF2" s="18" t="s">
        <v>483</v>
      </c>
      <c r="CG2" s="18" t="s">
        <v>484</v>
      </c>
      <c r="CH2" s="67" t="s">
        <v>505</v>
      </c>
      <c r="CI2" s="67" t="s">
        <v>506</v>
      </c>
      <c r="CJ2" s="67" t="s">
        <v>508</v>
      </c>
      <c r="CK2" s="67" t="s">
        <v>510</v>
      </c>
      <c r="CL2" s="67" t="s">
        <v>513</v>
      </c>
      <c r="CM2" s="67" t="s">
        <v>514</v>
      </c>
      <c r="CN2" s="67" t="s">
        <v>516</v>
      </c>
      <c r="CO2" s="67" t="s">
        <v>518</v>
      </c>
      <c r="CP2" s="67" t="s">
        <v>520</v>
      </c>
      <c r="CQ2" s="67" t="s">
        <v>522</v>
      </c>
      <c r="CR2" s="67" t="s">
        <v>524</v>
      </c>
      <c r="CS2" s="67" t="s">
        <v>527</v>
      </c>
      <c r="CT2" s="67" t="s">
        <v>529</v>
      </c>
      <c r="CU2" s="67" t="s">
        <v>531</v>
      </c>
      <c r="CV2" s="67" t="s">
        <v>533</v>
      </c>
      <c r="CW2" s="67" t="s">
        <v>535</v>
      </c>
      <c r="CX2" s="67" t="s">
        <v>536</v>
      </c>
      <c r="CY2" s="67" t="s">
        <v>539</v>
      </c>
      <c r="CZ2" s="67" t="s">
        <v>541</v>
      </c>
      <c r="DA2" s="67" t="s">
        <v>543</v>
      </c>
      <c r="DB2" s="67" t="s">
        <v>545</v>
      </c>
      <c r="DC2" s="67" t="s">
        <v>547</v>
      </c>
      <c r="DD2" s="83" t="s">
        <v>579</v>
      </c>
      <c r="DE2" s="83" t="s">
        <v>581</v>
      </c>
      <c r="DF2" s="83" t="s">
        <v>583</v>
      </c>
      <c r="DG2" s="83" t="s">
        <v>585</v>
      </c>
      <c r="DH2" s="83" t="s">
        <v>587</v>
      </c>
      <c r="DI2" s="83" t="s">
        <v>589</v>
      </c>
      <c r="DJ2" s="83" t="s">
        <v>591</v>
      </c>
      <c r="DK2" s="83" t="s">
        <v>593</v>
      </c>
      <c r="DL2" s="67" t="s">
        <v>595</v>
      </c>
      <c r="DM2" s="67" t="s">
        <v>597</v>
      </c>
      <c r="DN2" s="67" t="s">
        <v>599</v>
      </c>
      <c r="DO2" s="67" t="s">
        <v>601</v>
      </c>
      <c r="DP2" s="67" t="s">
        <v>603</v>
      </c>
      <c r="DQ2" s="67" t="s">
        <v>605</v>
      </c>
      <c r="DR2" s="67" t="s">
        <v>607</v>
      </c>
      <c r="DS2" s="67" t="s">
        <v>609</v>
      </c>
      <c r="DT2" s="18" t="s">
        <v>619</v>
      </c>
      <c r="DU2" s="18" t="s">
        <v>620</v>
      </c>
      <c r="DV2" s="18" t="s">
        <v>622</v>
      </c>
      <c r="DW2" s="18" t="s">
        <v>624</v>
      </c>
      <c r="DX2" s="18" t="s">
        <v>626</v>
      </c>
      <c r="DY2" s="18" t="s">
        <v>632</v>
      </c>
      <c r="DZ2" s="18" t="s">
        <v>634</v>
      </c>
      <c r="EA2" s="18" t="s">
        <v>628</v>
      </c>
      <c r="EB2" s="18" t="s">
        <v>630</v>
      </c>
      <c r="EC2" s="18" t="s">
        <v>636</v>
      </c>
      <c r="ED2" s="18" t="s">
        <v>638</v>
      </c>
      <c r="EE2" s="18" t="s">
        <v>640</v>
      </c>
      <c r="EF2" s="18" t="s">
        <v>642</v>
      </c>
      <c r="EG2" s="18" t="s">
        <v>644</v>
      </c>
      <c r="EH2" s="109" t="s">
        <v>654</v>
      </c>
      <c r="EI2" s="109" t="s">
        <v>666</v>
      </c>
      <c r="EJ2" s="109" t="s">
        <v>665</v>
      </c>
      <c r="EK2" s="109" t="s">
        <v>664</v>
      </c>
      <c r="EL2" s="109" t="s">
        <v>663</v>
      </c>
      <c r="EM2" s="109" t="s">
        <v>662</v>
      </c>
      <c r="EN2" s="109" t="s">
        <v>661</v>
      </c>
      <c r="EO2" s="18" t="s">
        <v>678</v>
      </c>
      <c r="EP2" s="18" t="s">
        <v>679</v>
      </c>
      <c r="EQ2" s="18" t="s">
        <v>680</v>
      </c>
      <c r="ER2" s="18" t="s">
        <v>681</v>
      </c>
      <c r="ES2" s="18" t="s">
        <v>682</v>
      </c>
      <c r="ET2" s="18" t="s">
        <v>683</v>
      </c>
      <c r="EU2" s="18" t="s">
        <v>684</v>
      </c>
      <c r="EV2" s="18" t="s">
        <v>685</v>
      </c>
      <c r="EW2" s="124" t="s">
        <v>704</v>
      </c>
      <c r="EX2" s="124" t="s">
        <v>705</v>
      </c>
      <c r="EY2" s="124" t="s">
        <v>706</v>
      </c>
      <c r="EZ2" s="124" t="s">
        <v>707</v>
      </c>
      <c r="FA2" s="124" t="s">
        <v>708</v>
      </c>
      <c r="FB2" s="125" t="s">
        <v>721</v>
      </c>
      <c r="FC2" s="125" t="s">
        <v>722</v>
      </c>
      <c r="FD2" s="125" t="s">
        <v>723</v>
      </c>
      <c r="FE2" s="125" t="s">
        <v>724</v>
      </c>
      <c r="FF2" s="125" t="s">
        <v>725</v>
      </c>
      <c r="FG2" s="125" t="s">
        <v>727</v>
      </c>
      <c r="FH2" s="125" t="s">
        <v>726</v>
      </c>
      <c r="FI2" s="3" t="s">
        <v>732</v>
      </c>
      <c r="FJ2" s="3" t="s">
        <v>733</v>
      </c>
      <c r="FK2" s="3" t="s">
        <v>734</v>
      </c>
      <c r="FL2" s="3" t="s">
        <v>735</v>
      </c>
      <c r="FM2" s="125" t="s">
        <v>753</v>
      </c>
      <c r="FN2" s="125" t="s">
        <v>754</v>
      </c>
      <c r="FO2" s="125" t="s">
        <v>746</v>
      </c>
      <c r="FP2" s="125" t="s">
        <v>747</v>
      </c>
      <c r="FQ2" s="125" t="s">
        <v>748</v>
      </c>
      <c r="FR2" s="125" t="s">
        <v>749</v>
      </c>
      <c r="FS2" s="125" t="s">
        <v>750</v>
      </c>
      <c r="FT2" s="125" t="s">
        <v>751</v>
      </c>
      <c r="FU2" s="125" t="s">
        <v>755</v>
      </c>
      <c r="FV2" s="125" t="s">
        <v>752</v>
      </c>
      <c r="FW2" s="124" t="s">
        <v>756</v>
      </c>
      <c r="FX2" s="124" t="s">
        <v>757</v>
      </c>
      <c r="FY2" s="124" t="s">
        <v>758</v>
      </c>
      <c r="FZ2" s="124" t="s">
        <v>759</v>
      </c>
      <c r="GA2" s="124" t="s">
        <v>760</v>
      </c>
      <c r="GB2" s="124" t="s">
        <v>761</v>
      </c>
      <c r="GC2" s="124" t="s">
        <v>762</v>
      </c>
      <c r="GD2" s="124" t="s">
        <v>763</v>
      </c>
      <c r="GE2" s="124" t="s">
        <v>764</v>
      </c>
      <c r="GF2" s="124" t="s">
        <v>765</v>
      </c>
      <c r="GG2" s="18" t="s">
        <v>802</v>
      </c>
      <c r="GH2" s="18" t="s">
        <v>801</v>
      </c>
      <c r="GI2" s="18" t="s">
        <v>800</v>
      </c>
      <c r="GJ2" s="18" t="s">
        <v>799</v>
      </c>
      <c r="GK2" s="18" t="s">
        <v>798</v>
      </c>
      <c r="GL2" s="18" t="s">
        <v>797</v>
      </c>
      <c r="GM2" s="18" t="s">
        <v>796</v>
      </c>
      <c r="GN2" s="18" t="s">
        <v>795</v>
      </c>
      <c r="GO2" s="18" t="s">
        <v>794</v>
      </c>
      <c r="GP2" s="18" t="s">
        <v>793</v>
      </c>
      <c r="GQ2" s="18" t="s">
        <v>792</v>
      </c>
      <c r="GR2" s="18" t="s">
        <v>791</v>
      </c>
      <c r="GS2" s="18" t="s">
        <v>790</v>
      </c>
      <c r="GT2" s="18" t="s">
        <v>789</v>
      </c>
      <c r="GU2" s="18" t="s">
        <v>788</v>
      </c>
      <c r="GV2" s="18" t="s">
        <v>787</v>
      </c>
      <c r="GW2" s="18" t="s">
        <v>786</v>
      </c>
      <c r="GX2" s="18" t="s">
        <v>785</v>
      </c>
      <c r="GY2" s="3" t="s">
        <v>784</v>
      </c>
      <c r="GZ2" s="3" t="s">
        <v>783</v>
      </c>
      <c r="HA2" s="3" t="s">
        <v>782</v>
      </c>
      <c r="HB2" s="3" t="s">
        <v>781</v>
      </c>
      <c r="HC2" s="3" t="s">
        <v>780</v>
      </c>
      <c r="HD2" s="3" t="s">
        <v>779</v>
      </c>
      <c r="HE2" s="3" t="s">
        <v>778</v>
      </c>
      <c r="HF2" s="3" t="s">
        <v>777</v>
      </c>
      <c r="HG2" s="3" t="s">
        <v>776</v>
      </c>
      <c r="HH2" s="3" t="s">
        <v>775</v>
      </c>
      <c r="HI2" s="3" t="s">
        <v>774</v>
      </c>
      <c r="HJ2" s="3" t="s">
        <v>773</v>
      </c>
      <c r="HK2" s="3" t="s">
        <v>772</v>
      </c>
      <c r="HL2" s="3" t="s">
        <v>771</v>
      </c>
      <c r="HM2" s="3" t="s">
        <v>770</v>
      </c>
      <c r="HN2" s="3" t="s">
        <v>769</v>
      </c>
      <c r="HO2" s="3" t="s">
        <v>768</v>
      </c>
      <c r="HP2" s="3" t="s">
        <v>767</v>
      </c>
      <c r="HQ2" s="125" t="s">
        <v>841</v>
      </c>
      <c r="HR2" s="125" t="s">
        <v>842</v>
      </c>
      <c r="HS2" s="125" t="s">
        <v>843</v>
      </c>
      <c r="HT2" s="125" t="s">
        <v>844</v>
      </c>
      <c r="HU2" s="125" t="s">
        <v>845</v>
      </c>
      <c r="HV2" s="125" t="s">
        <v>846</v>
      </c>
      <c r="HW2" s="125" t="s">
        <v>847</v>
      </c>
      <c r="HX2" s="125" t="s">
        <v>848</v>
      </c>
      <c r="HY2" s="3" t="s">
        <v>850</v>
      </c>
      <c r="HZ2" s="3" t="s">
        <v>851</v>
      </c>
      <c r="IA2" s="3" t="s">
        <v>852</v>
      </c>
      <c r="IB2" s="3" t="s">
        <v>853</v>
      </c>
      <c r="IC2" s="3" t="s">
        <v>854</v>
      </c>
      <c r="ID2" s="3" t="s">
        <v>855</v>
      </c>
      <c r="IE2" s="3" t="s">
        <v>856</v>
      </c>
      <c r="IF2" s="3" t="s">
        <v>857</v>
      </c>
      <c r="IG2" s="3" t="s">
        <v>858</v>
      </c>
      <c r="IH2" s="125" t="s">
        <v>877</v>
      </c>
      <c r="II2" s="125" t="s">
        <v>879</v>
      </c>
      <c r="IJ2" s="125" t="s">
        <v>878</v>
      </c>
      <c r="IK2" s="125" t="s">
        <v>880</v>
      </c>
      <c r="IL2" s="125" t="s">
        <v>881</v>
      </c>
      <c r="IM2" s="125" t="s">
        <v>882</v>
      </c>
      <c r="IN2" s="125" t="s">
        <v>883</v>
      </c>
      <c r="IO2" s="125" t="s">
        <v>884</v>
      </c>
      <c r="IP2" s="125" t="s">
        <v>885</v>
      </c>
      <c r="IQ2" s="3" t="s">
        <v>891</v>
      </c>
      <c r="IR2" s="3" t="s">
        <v>892</v>
      </c>
      <c r="IS2" s="3" t="s">
        <v>893</v>
      </c>
      <c r="IT2" s="3" t="s">
        <v>894</v>
      </c>
      <c r="IU2" s="3" t="s">
        <v>895</v>
      </c>
      <c r="IV2" s="125" t="s">
        <v>897</v>
      </c>
      <c r="IW2" s="125" t="s">
        <v>898</v>
      </c>
      <c r="IX2" s="125" t="s">
        <v>899</v>
      </c>
      <c r="IY2" s="125" t="s">
        <v>900</v>
      </c>
      <c r="IZ2" s="125" t="s">
        <v>901</v>
      </c>
      <c r="JA2" s="125" t="s">
        <v>902</v>
      </c>
      <c r="JB2" s="3" t="s">
        <v>904</v>
      </c>
      <c r="JC2" s="3" t="s">
        <v>905</v>
      </c>
      <c r="JD2" s="3" t="s">
        <v>906</v>
      </c>
      <c r="JE2" s="3" t="s">
        <v>907</v>
      </c>
      <c r="JF2" s="125" t="s">
        <v>908</v>
      </c>
      <c r="JG2" s="125" t="s">
        <v>909</v>
      </c>
      <c r="JH2" s="3" t="s">
        <v>912</v>
      </c>
      <c r="JI2" s="3" t="s">
        <v>913</v>
      </c>
      <c r="JJ2" s="3" t="s">
        <v>914</v>
      </c>
      <c r="JK2" s="3" t="s">
        <v>915</v>
      </c>
      <c r="JL2" s="125" t="s">
        <v>916</v>
      </c>
      <c r="JM2" s="125" t="s">
        <v>917</v>
      </c>
      <c r="JN2" s="125" t="s">
        <v>918</v>
      </c>
      <c r="JO2" s="125" t="s">
        <v>919</v>
      </c>
      <c r="JP2" s="125" t="s">
        <v>920</v>
      </c>
      <c r="JQ2" s="125" t="s">
        <v>921</v>
      </c>
      <c r="JR2" s="125" t="s">
        <v>922</v>
      </c>
      <c r="JS2" s="125" t="s">
        <v>923</v>
      </c>
      <c r="JT2" s="125" t="s">
        <v>924</v>
      </c>
      <c r="JU2" s="3" t="s">
        <v>925</v>
      </c>
      <c r="JV2" s="3" t="s">
        <v>926</v>
      </c>
      <c r="JW2" s="3" t="s">
        <v>928</v>
      </c>
      <c r="JX2" s="3" t="s">
        <v>927</v>
      </c>
      <c r="JY2" s="125" t="s">
        <v>929</v>
      </c>
      <c r="JZ2" s="124" t="s">
        <v>930</v>
      </c>
      <c r="KA2" s="124" t="s">
        <v>932</v>
      </c>
      <c r="KB2" s="124" t="s">
        <v>931</v>
      </c>
      <c r="KC2" s="124" t="s">
        <v>933</v>
      </c>
      <c r="KD2" s="124" t="s">
        <v>934</v>
      </c>
      <c r="KE2" s="124" t="s">
        <v>935</v>
      </c>
      <c r="KF2" s="124" t="s">
        <v>936</v>
      </c>
      <c r="KG2" s="124" t="s">
        <v>937</v>
      </c>
      <c r="KH2" s="125" t="s">
        <v>938</v>
      </c>
      <c r="KI2" s="125" t="s">
        <v>939</v>
      </c>
      <c r="KJ2" s="125" t="s">
        <v>940</v>
      </c>
      <c r="KK2" s="125" t="s">
        <v>941</v>
      </c>
      <c r="KL2" s="3" t="s">
        <v>942</v>
      </c>
      <c r="KM2" s="3" t="s">
        <v>943</v>
      </c>
      <c r="KN2" s="3" t="s">
        <v>944</v>
      </c>
      <c r="KO2" s="3" t="s">
        <v>945</v>
      </c>
      <c r="KP2" s="125" t="s">
        <v>946</v>
      </c>
      <c r="KQ2" s="125" t="s">
        <v>947</v>
      </c>
      <c r="KR2" s="3" t="s">
        <v>957</v>
      </c>
      <c r="KS2" s="3" t="s">
        <v>958</v>
      </c>
      <c r="KT2" s="125" t="s">
        <v>956</v>
      </c>
      <c r="KU2" s="125" t="s">
        <v>959</v>
      </c>
      <c r="KV2" s="125" t="s">
        <v>960</v>
      </c>
      <c r="KW2" s="125" t="s">
        <v>961</v>
      </c>
      <c r="KX2" s="3" t="s">
        <v>962</v>
      </c>
      <c r="KY2" s="3" t="s">
        <v>963</v>
      </c>
      <c r="KZ2" s="3" t="s">
        <v>964</v>
      </c>
      <c r="LA2" s="3" t="s">
        <v>965</v>
      </c>
      <c r="LB2" s="125" t="s">
        <v>968</v>
      </c>
      <c r="LC2" s="125" t="s">
        <v>969</v>
      </c>
      <c r="LD2" s="3" t="s">
        <v>970</v>
      </c>
      <c r="LE2" s="3" t="s">
        <v>971</v>
      </c>
      <c r="LF2" s="3" t="s">
        <v>972</v>
      </c>
      <c r="LG2" s="125" t="s">
        <v>973</v>
      </c>
      <c r="LH2" s="125" t="s">
        <v>974</v>
      </c>
      <c r="LI2" s="125" t="s">
        <v>975</v>
      </c>
      <c r="LJ2" s="125" t="s">
        <v>976</v>
      </c>
      <c r="LK2" s="125" t="s">
        <v>977</v>
      </c>
      <c r="LL2" s="125" t="s">
        <v>978</v>
      </c>
      <c r="LM2" s="125" t="s">
        <v>979</v>
      </c>
      <c r="LN2" s="3" t="s">
        <v>980</v>
      </c>
      <c r="LO2" s="3" t="s">
        <v>981</v>
      </c>
      <c r="LP2" s="3" t="s">
        <v>982</v>
      </c>
      <c r="LQ2" s="3" t="s">
        <v>983</v>
      </c>
      <c r="LR2" s="3" t="s">
        <v>984</v>
      </c>
      <c r="LS2" s="3" t="s">
        <v>985</v>
      </c>
      <c r="LT2" s="3" t="s">
        <v>986</v>
      </c>
      <c r="LU2" s="125" t="s">
        <v>989</v>
      </c>
      <c r="LV2" s="125" t="s">
        <v>987</v>
      </c>
      <c r="LW2" s="125" t="s">
        <v>988</v>
      </c>
      <c r="LX2" s="251" t="s">
        <v>1037</v>
      </c>
      <c r="LY2" s="251" t="s">
        <v>1038</v>
      </c>
    </row>
    <row r="3" spans="1:16384" x14ac:dyDescent="0.25">
      <c r="A3" t="s">
        <v>38</v>
      </c>
      <c r="B3" t="s">
        <v>39</v>
      </c>
      <c r="C3">
        <v>14189</v>
      </c>
      <c r="D3">
        <v>16814</v>
      </c>
      <c r="F3">
        <f t="shared" ref="F3:F34" si="0">E3-D3</f>
        <v>-16814</v>
      </c>
      <c r="G3">
        <f t="shared" ref="G3:G34" si="1">E3/D3*100-100</f>
        <v>-100</v>
      </c>
      <c r="H3">
        <v>8436</v>
      </c>
      <c r="I3">
        <v>8378</v>
      </c>
      <c r="J3">
        <v>7515</v>
      </c>
      <c r="K3">
        <v>9299</v>
      </c>
      <c r="L3">
        <v>999</v>
      </c>
      <c r="M3">
        <v>1000</v>
      </c>
      <c r="N3">
        <v>1053</v>
      </c>
      <c r="O3">
        <v>1044</v>
      </c>
      <c r="P3">
        <v>690</v>
      </c>
      <c r="Q3">
        <v>548</v>
      </c>
      <c r="R3">
        <v>527</v>
      </c>
      <c r="S3">
        <v>489</v>
      </c>
      <c r="T3">
        <v>407</v>
      </c>
      <c r="U3">
        <v>341</v>
      </c>
      <c r="V3">
        <v>297</v>
      </c>
      <c r="W3">
        <v>278</v>
      </c>
      <c r="X3">
        <v>256</v>
      </c>
      <c r="Y3">
        <v>506</v>
      </c>
      <c r="Z3">
        <v>1</v>
      </c>
      <c r="AA3" s="7">
        <v>988</v>
      </c>
      <c r="AB3" s="7">
        <v>933</v>
      </c>
      <c r="AC3" s="7">
        <v>1008</v>
      </c>
      <c r="AD3" s="7">
        <v>1025</v>
      </c>
      <c r="AE3" s="7">
        <v>736</v>
      </c>
      <c r="AF3" s="7">
        <v>634</v>
      </c>
      <c r="AG3" s="7">
        <v>566</v>
      </c>
      <c r="AH3" s="7">
        <v>526</v>
      </c>
      <c r="AI3" s="7">
        <v>431</v>
      </c>
      <c r="AJ3" s="7">
        <v>370</v>
      </c>
      <c r="AK3" s="7">
        <v>299</v>
      </c>
      <c r="AL3" s="7">
        <v>264</v>
      </c>
      <c r="AM3" s="7">
        <v>188</v>
      </c>
      <c r="AN3" s="7">
        <v>410</v>
      </c>
      <c r="AO3" s="7">
        <v>0</v>
      </c>
      <c r="AP3">
        <v>16252</v>
      </c>
      <c r="AQ3">
        <v>418</v>
      </c>
      <c r="AR3">
        <v>38</v>
      </c>
      <c r="AS3">
        <v>70</v>
      </c>
      <c r="AT3">
        <v>36</v>
      </c>
      <c r="AU3">
        <v>29</v>
      </c>
      <c r="AV3">
        <v>21</v>
      </c>
      <c r="AW3">
        <v>8</v>
      </c>
      <c r="AX3">
        <v>58</v>
      </c>
      <c r="AY3" s="7">
        <v>29</v>
      </c>
      <c r="AZ3">
        <v>18</v>
      </c>
      <c r="BA3">
        <v>11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1</v>
      </c>
      <c r="BJ3">
        <v>0</v>
      </c>
      <c r="BK3">
        <v>1</v>
      </c>
      <c r="BL3">
        <v>1</v>
      </c>
      <c r="BM3">
        <v>1</v>
      </c>
      <c r="BN3">
        <v>0</v>
      </c>
      <c r="BO3">
        <v>1</v>
      </c>
      <c r="BP3">
        <v>2</v>
      </c>
      <c r="BQ3">
        <v>1</v>
      </c>
      <c r="BR3">
        <v>2</v>
      </c>
      <c r="BS3">
        <v>0</v>
      </c>
      <c r="BT3">
        <v>1</v>
      </c>
      <c r="BU3">
        <v>0</v>
      </c>
      <c r="BV3">
        <v>2</v>
      </c>
      <c r="BW3">
        <v>1</v>
      </c>
      <c r="BX3">
        <v>4</v>
      </c>
      <c r="BY3">
        <v>0</v>
      </c>
      <c r="BZ3">
        <v>2</v>
      </c>
      <c r="CA3">
        <v>0</v>
      </c>
      <c r="CB3">
        <v>7</v>
      </c>
      <c r="CC3">
        <v>2</v>
      </c>
      <c r="CD3">
        <v>19</v>
      </c>
      <c r="CE3">
        <v>7</v>
      </c>
      <c r="CF3">
        <v>0</v>
      </c>
      <c r="CG3">
        <v>0</v>
      </c>
      <c r="CH3">
        <v>3133</v>
      </c>
      <c r="CI3">
        <v>705</v>
      </c>
      <c r="CJ3">
        <v>14223</v>
      </c>
      <c r="CK3">
        <v>2591</v>
      </c>
      <c r="CL3">
        <v>266</v>
      </c>
      <c r="CM3">
        <v>456</v>
      </c>
      <c r="CN3">
        <v>666</v>
      </c>
      <c r="CO3">
        <v>747</v>
      </c>
      <c r="CP3">
        <v>711</v>
      </c>
      <c r="CQ3">
        <v>992</v>
      </c>
      <c r="CR3">
        <v>2831</v>
      </c>
      <c r="CS3">
        <v>7969</v>
      </c>
      <c r="CT3">
        <v>1250</v>
      </c>
      <c r="CU3">
        <v>301</v>
      </c>
      <c r="CV3">
        <v>119</v>
      </c>
      <c r="CW3">
        <v>420</v>
      </c>
      <c r="CX3">
        <v>62</v>
      </c>
      <c r="CY3">
        <v>10624</v>
      </c>
      <c r="CZ3">
        <v>5577</v>
      </c>
      <c r="DA3">
        <v>184</v>
      </c>
      <c r="DB3">
        <v>266</v>
      </c>
      <c r="DC3">
        <v>23</v>
      </c>
      <c r="DD3">
        <v>3170</v>
      </c>
      <c r="DE3">
        <v>1898</v>
      </c>
      <c r="DF3">
        <v>4231</v>
      </c>
      <c r="DG3">
        <v>0</v>
      </c>
      <c r="DH3">
        <v>7515</v>
      </c>
      <c r="DI3">
        <v>0</v>
      </c>
      <c r="DJ3">
        <v>0</v>
      </c>
      <c r="DK3">
        <v>0</v>
      </c>
      <c r="DL3">
        <v>102</v>
      </c>
      <c r="DM3">
        <v>5</v>
      </c>
      <c r="DN3">
        <v>5</v>
      </c>
      <c r="DO3">
        <v>0</v>
      </c>
      <c r="DP3">
        <v>1</v>
      </c>
      <c r="DQ3">
        <v>0</v>
      </c>
      <c r="DR3">
        <v>0</v>
      </c>
      <c r="DS3">
        <v>0</v>
      </c>
      <c r="DT3">
        <v>131</v>
      </c>
      <c r="DU3">
        <v>143</v>
      </c>
      <c r="DV3">
        <v>94</v>
      </c>
      <c r="DW3">
        <v>69</v>
      </c>
      <c r="DX3">
        <v>52</v>
      </c>
      <c r="DY3">
        <v>28</v>
      </c>
      <c r="DZ3">
        <v>55</v>
      </c>
      <c r="EA3">
        <v>65</v>
      </c>
      <c r="EB3">
        <v>33</v>
      </c>
      <c r="EC3">
        <v>32</v>
      </c>
      <c r="ED3">
        <v>5</v>
      </c>
      <c r="EE3">
        <v>9</v>
      </c>
      <c r="EF3">
        <v>36</v>
      </c>
      <c r="EG3">
        <v>27</v>
      </c>
      <c r="EH3">
        <v>164</v>
      </c>
      <c r="EI3">
        <v>111</v>
      </c>
      <c r="EJ3">
        <v>59</v>
      </c>
      <c r="EK3">
        <v>75</v>
      </c>
      <c r="EL3">
        <v>43</v>
      </c>
      <c r="EM3">
        <v>7</v>
      </c>
      <c r="EN3">
        <v>35</v>
      </c>
      <c r="EO3">
        <v>4446</v>
      </c>
      <c r="EP3">
        <v>4322</v>
      </c>
      <c r="EQ3">
        <v>124</v>
      </c>
      <c r="ER3">
        <v>1543</v>
      </c>
      <c r="ES3">
        <v>715</v>
      </c>
      <c r="ET3">
        <v>703</v>
      </c>
      <c r="EU3">
        <v>12</v>
      </c>
      <c r="EV3">
        <v>5296</v>
      </c>
      <c r="EW3" s="134">
        <v>59.774109469999999</v>
      </c>
      <c r="EX3" s="134">
        <v>11.815812337000001</v>
      </c>
      <c r="EY3" s="134">
        <v>9.4483058209999999</v>
      </c>
      <c r="EZ3" s="134">
        <v>18.744569939000002</v>
      </c>
      <c r="FA3" s="134">
        <v>0.2172024327</v>
      </c>
      <c r="FB3">
        <v>597</v>
      </c>
      <c r="FC3">
        <v>2618</v>
      </c>
      <c r="FD3">
        <v>181</v>
      </c>
      <c r="FE3">
        <v>878</v>
      </c>
      <c r="FF3">
        <v>2</v>
      </c>
      <c r="FG3">
        <v>657</v>
      </c>
      <c r="FH3">
        <v>216</v>
      </c>
      <c r="FI3" s="134">
        <v>53.844483058000002</v>
      </c>
      <c r="FJ3" s="134">
        <v>27.324066030000001</v>
      </c>
      <c r="FK3" s="134">
        <v>13.488271069</v>
      </c>
      <c r="FL3" s="134">
        <v>5.3431798435999998</v>
      </c>
      <c r="FM3" s="151">
        <v>5054</v>
      </c>
      <c r="FN3" s="151">
        <v>3372</v>
      </c>
      <c r="FO3">
        <v>1633</v>
      </c>
      <c r="FP3">
        <v>110</v>
      </c>
      <c r="FQ3">
        <v>20</v>
      </c>
      <c r="FR3">
        <v>5</v>
      </c>
      <c r="FS3">
        <v>3511</v>
      </c>
      <c r="FT3">
        <v>13</v>
      </c>
      <c r="FU3" s="7">
        <v>19</v>
      </c>
      <c r="FV3">
        <v>10</v>
      </c>
      <c r="FW3">
        <v>5384</v>
      </c>
      <c r="FX3">
        <v>2983</v>
      </c>
      <c r="FY3">
        <v>1668</v>
      </c>
      <c r="FZ3">
        <v>110</v>
      </c>
      <c r="GA3">
        <v>25</v>
      </c>
      <c r="GB3">
        <v>6</v>
      </c>
      <c r="GC3">
        <v>3799</v>
      </c>
      <c r="GD3">
        <v>5</v>
      </c>
      <c r="GE3">
        <v>7</v>
      </c>
      <c r="GF3">
        <v>11</v>
      </c>
      <c r="GG3">
        <v>600</v>
      </c>
      <c r="GH3">
        <v>653</v>
      </c>
      <c r="GI3">
        <v>730</v>
      </c>
      <c r="GJ3">
        <v>638</v>
      </c>
      <c r="GK3">
        <v>314</v>
      </c>
      <c r="GL3">
        <v>255</v>
      </c>
      <c r="GM3">
        <v>321</v>
      </c>
      <c r="GN3">
        <v>302</v>
      </c>
      <c r="GO3">
        <v>246</v>
      </c>
      <c r="GP3">
        <v>214</v>
      </c>
      <c r="GQ3">
        <v>177</v>
      </c>
      <c r="GR3">
        <v>167</v>
      </c>
      <c r="GS3">
        <v>160</v>
      </c>
      <c r="GT3">
        <v>82</v>
      </c>
      <c r="GU3">
        <v>90</v>
      </c>
      <c r="GV3">
        <v>52</v>
      </c>
      <c r="GW3">
        <v>31</v>
      </c>
      <c r="GX3">
        <v>22</v>
      </c>
      <c r="GY3">
        <v>576</v>
      </c>
      <c r="GZ3">
        <v>611</v>
      </c>
      <c r="HA3">
        <v>671</v>
      </c>
      <c r="HB3">
        <v>643</v>
      </c>
      <c r="HC3">
        <v>395</v>
      </c>
      <c r="HD3">
        <v>399</v>
      </c>
      <c r="HE3">
        <v>382</v>
      </c>
      <c r="HF3">
        <v>370</v>
      </c>
      <c r="HG3">
        <v>313</v>
      </c>
      <c r="HH3">
        <v>258</v>
      </c>
      <c r="HI3">
        <v>203</v>
      </c>
      <c r="HJ3">
        <v>183</v>
      </c>
      <c r="HK3">
        <v>123</v>
      </c>
      <c r="HL3">
        <v>93</v>
      </c>
      <c r="HM3">
        <v>77</v>
      </c>
      <c r="HN3">
        <v>43</v>
      </c>
      <c r="HO3">
        <v>19</v>
      </c>
      <c r="HP3">
        <v>25</v>
      </c>
      <c r="HQ3">
        <v>3823</v>
      </c>
      <c r="HR3">
        <v>1</v>
      </c>
      <c r="HS3">
        <v>6</v>
      </c>
      <c r="HT3">
        <v>0</v>
      </c>
      <c r="HU3">
        <v>0</v>
      </c>
      <c r="HV3">
        <v>0</v>
      </c>
      <c r="HW3">
        <v>1</v>
      </c>
      <c r="HX3">
        <v>7</v>
      </c>
      <c r="HY3">
        <v>265</v>
      </c>
      <c r="HZ3">
        <v>456</v>
      </c>
      <c r="IA3">
        <v>666</v>
      </c>
      <c r="IB3">
        <v>747</v>
      </c>
      <c r="IC3">
        <v>711</v>
      </c>
      <c r="ID3">
        <v>473</v>
      </c>
      <c r="IE3">
        <v>226</v>
      </c>
      <c r="IF3">
        <v>138</v>
      </c>
      <c r="IG3">
        <v>155</v>
      </c>
      <c r="IH3">
        <v>598</v>
      </c>
      <c r="II3">
        <v>1253</v>
      </c>
      <c r="IJ3">
        <v>1155</v>
      </c>
      <c r="IK3">
        <v>533</v>
      </c>
      <c r="IL3">
        <v>188</v>
      </c>
      <c r="IM3">
        <v>60</v>
      </c>
      <c r="IN3">
        <v>16</v>
      </c>
      <c r="IO3">
        <v>5</v>
      </c>
      <c r="IP3">
        <v>3</v>
      </c>
      <c r="IQ3">
        <v>1994</v>
      </c>
      <c r="IR3">
        <v>1401</v>
      </c>
      <c r="IS3">
        <v>348</v>
      </c>
      <c r="IT3">
        <v>64</v>
      </c>
      <c r="IU3">
        <v>18</v>
      </c>
      <c r="IV3">
        <v>1661</v>
      </c>
      <c r="IW3">
        <v>1291</v>
      </c>
      <c r="IX3">
        <v>247</v>
      </c>
      <c r="IY3">
        <v>59</v>
      </c>
      <c r="IZ3">
        <v>0</v>
      </c>
      <c r="JA3">
        <v>566</v>
      </c>
      <c r="JB3">
        <v>1578</v>
      </c>
      <c r="JC3">
        <v>1850</v>
      </c>
      <c r="JD3">
        <v>16</v>
      </c>
      <c r="JE3">
        <v>10</v>
      </c>
      <c r="JF3" s="151">
        <v>3558.3784988020802</v>
      </c>
      <c r="JG3" s="151">
        <v>266.61017939578102</v>
      </c>
      <c r="JH3">
        <v>363</v>
      </c>
      <c r="JI3">
        <v>3383</v>
      </c>
      <c r="JJ3">
        <v>77</v>
      </c>
      <c r="JK3">
        <v>14</v>
      </c>
      <c r="JL3">
        <v>2343</v>
      </c>
      <c r="JM3">
        <v>1110</v>
      </c>
      <c r="JN3">
        <v>459</v>
      </c>
      <c r="JO3">
        <v>2434</v>
      </c>
      <c r="JP3">
        <v>2766</v>
      </c>
      <c r="JQ3">
        <v>155</v>
      </c>
      <c r="JR3">
        <v>396</v>
      </c>
      <c r="JS3">
        <v>1540</v>
      </c>
      <c r="JT3">
        <v>49</v>
      </c>
      <c r="JU3" s="151">
        <v>225.06646993513704</v>
      </c>
      <c r="JV3" s="151">
        <v>3218.0396482206511</v>
      </c>
      <c r="JW3" s="151">
        <v>107.96799216969555</v>
      </c>
      <c r="JX3" s="151">
        <v>7.3043884765967393</v>
      </c>
      <c r="JY3">
        <v>3625</v>
      </c>
      <c r="JZ3">
        <v>16768</v>
      </c>
      <c r="KA3">
        <v>2</v>
      </c>
      <c r="KB3">
        <v>22</v>
      </c>
      <c r="KC3">
        <v>0</v>
      </c>
      <c r="KD3">
        <v>0</v>
      </c>
      <c r="KE3">
        <v>0</v>
      </c>
      <c r="KF3">
        <v>1</v>
      </c>
      <c r="KG3">
        <v>21</v>
      </c>
      <c r="KH3">
        <v>1623</v>
      </c>
      <c r="KI3">
        <v>14834</v>
      </c>
      <c r="KJ3">
        <v>299</v>
      </c>
      <c r="KK3">
        <v>57</v>
      </c>
      <c r="KL3">
        <v>986</v>
      </c>
      <c r="KM3">
        <v>14098</v>
      </c>
      <c r="KN3">
        <v>473</v>
      </c>
      <c r="KO3">
        <v>32</v>
      </c>
      <c r="KP3">
        <v>15589</v>
      </c>
      <c r="KQ3">
        <v>1168</v>
      </c>
      <c r="KR3">
        <v>2698</v>
      </c>
      <c r="KS3">
        <v>2698</v>
      </c>
      <c r="KT3">
        <v>480</v>
      </c>
      <c r="KU3">
        <v>216</v>
      </c>
      <c r="KV3">
        <v>524</v>
      </c>
      <c r="KW3">
        <v>0</v>
      </c>
      <c r="KX3">
        <v>494</v>
      </c>
      <c r="KY3">
        <v>193</v>
      </c>
      <c r="KZ3">
        <v>515</v>
      </c>
      <c r="LA3">
        <v>1</v>
      </c>
      <c r="LB3">
        <v>1549</v>
      </c>
      <c r="LC3">
        <v>1497</v>
      </c>
      <c r="LD3">
        <v>586</v>
      </c>
      <c r="LE3">
        <v>920</v>
      </c>
      <c r="LF3">
        <v>10832</v>
      </c>
      <c r="LG3">
        <v>19</v>
      </c>
      <c r="LH3">
        <v>2487</v>
      </c>
      <c r="LI3">
        <v>293</v>
      </c>
      <c r="LJ3">
        <v>923</v>
      </c>
      <c r="LK3">
        <v>1</v>
      </c>
      <c r="LL3">
        <v>798</v>
      </c>
      <c r="LM3">
        <v>197</v>
      </c>
      <c r="LN3">
        <v>8</v>
      </c>
      <c r="LO3">
        <v>2420</v>
      </c>
      <c r="LP3">
        <v>288</v>
      </c>
      <c r="LQ3">
        <v>935</v>
      </c>
      <c r="LR3">
        <v>4</v>
      </c>
      <c r="LS3">
        <v>744</v>
      </c>
      <c r="LT3">
        <v>162</v>
      </c>
      <c r="LU3" s="232">
        <v>5.9743637205000004</v>
      </c>
      <c r="LV3" s="232">
        <v>6.1549059765000003</v>
      </c>
      <c r="LW3" s="232">
        <v>5.7959146116999998</v>
      </c>
      <c r="LX3">
        <v>3837</v>
      </c>
      <c r="LY3">
        <v>16813</v>
      </c>
    </row>
    <row r="4" spans="1:16384" x14ac:dyDescent="0.25">
      <c r="A4" t="s">
        <v>40</v>
      </c>
      <c r="B4" t="s">
        <v>41</v>
      </c>
      <c r="C4" s="7">
        <v>24754</v>
      </c>
      <c r="D4">
        <v>28947</v>
      </c>
      <c r="F4">
        <f t="shared" si="0"/>
        <v>-28947</v>
      </c>
      <c r="G4">
        <f t="shared" si="1"/>
        <v>-100</v>
      </c>
      <c r="H4">
        <v>14473</v>
      </c>
      <c r="I4">
        <v>14474</v>
      </c>
      <c r="J4">
        <v>18525</v>
      </c>
      <c r="K4">
        <v>10422</v>
      </c>
      <c r="L4">
        <v>1501</v>
      </c>
      <c r="M4">
        <v>1603</v>
      </c>
      <c r="N4">
        <v>1583</v>
      </c>
      <c r="O4">
        <v>1485</v>
      </c>
      <c r="P4">
        <v>1269</v>
      </c>
      <c r="Q4">
        <v>1076</v>
      </c>
      <c r="R4">
        <v>1052</v>
      </c>
      <c r="S4">
        <v>945</v>
      </c>
      <c r="T4">
        <v>802</v>
      </c>
      <c r="U4">
        <v>645</v>
      </c>
      <c r="V4">
        <v>575</v>
      </c>
      <c r="W4">
        <v>507</v>
      </c>
      <c r="X4">
        <v>444</v>
      </c>
      <c r="Y4">
        <v>981</v>
      </c>
      <c r="Z4" s="7">
        <v>5</v>
      </c>
      <c r="AA4" s="7">
        <v>1497</v>
      </c>
      <c r="AB4" s="7">
        <v>1415</v>
      </c>
      <c r="AC4" s="7">
        <v>1440</v>
      </c>
      <c r="AD4" s="7">
        <v>1515</v>
      </c>
      <c r="AE4" s="7">
        <v>1329</v>
      </c>
      <c r="AF4" s="7">
        <v>1174</v>
      </c>
      <c r="AG4" s="7">
        <v>1167</v>
      </c>
      <c r="AH4" s="7">
        <v>1092</v>
      </c>
      <c r="AI4" s="7">
        <v>757</v>
      </c>
      <c r="AJ4" s="7">
        <v>691</v>
      </c>
      <c r="AK4" s="7">
        <v>619</v>
      </c>
      <c r="AL4" s="7">
        <v>487</v>
      </c>
      <c r="AM4" s="7">
        <v>402</v>
      </c>
      <c r="AN4" s="7">
        <v>883</v>
      </c>
      <c r="AO4" s="7">
        <v>6</v>
      </c>
      <c r="AP4">
        <v>28549</v>
      </c>
      <c r="AQ4">
        <v>312</v>
      </c>
      <c r="AR4">
        <v>7</v>
      </c>
      <c r="AS4">
        <v>6</v>
      </c>
      <c r="AT4">
        <v>73</v>
      </c>
      <c r="AU4" s="7">
        <v>3427</v>
      </c>
      <c r="AV4" s="7">
        <v>1739</v>
      </c>
      <c r="AW4" s="7">
        <v>1688</v>
      </c>
      <c r="AX4" s="7">
        <v>2459</v>
      </c>
      <c r="AY4" s="7">
        <v>3427</v>
      </c>
      <c r="AZ4" s="7">
        <v>3120</v>
      </c>
      <c r="BA4" s="7">
        <v>307</v>
      </c>
      <c r="BB4" s="7">
        <v>80</v>
      </c>
      <c r="BC4" s="7">
        <v>64</v>
      </c>
      <c r="BD4" s="7">
        <v>261</v>
      </c>
      <c r="BE4" s="7">
        <v>215</v>
      </c>
      <c r="BF4" s="7">
        <v>260</v>
      </c>
      <c r="BG4" s="7">
        <v>249</v>
      </c>
      <c r="BH4" s="7">
        <v>220</v>
      </c>
      <c r="BI4" s="7">
        <v>262</v>
      </c>
      <c r="BJ4" s="7">
        <v>166</v>
      </c>
      <c r="BK4" s="7">
        <v>157</v>
      </c>
      <c r="BL4" s="7">
        <v>114</v>
      </c>
      <c r="BM4" s="7">
        <v>122</v>
      </c>
      <c r="BN4" s="7">
        <v>109</v>
      </c>
      <c r="BO4" s="7">
        <v>120</v>
      </c>
      <c r="BP4" s="7">
        <v>131</v>
      </c>
      <c r="BQ4" s="7">
        <v>107</v>
      </c>
      <c r="BR4" s="7">
        <v>76</v>
      </c>
      <c r="BS4" s="7">
        <v>72</v>
      </c>
      <c r="BT4" s="7">
        <v>66</v>
      </c>
      <c r="BU4" s="7">
        <v>78</v>
      </c>
      <c r="BV4" s="7">
        <v>52</v>
      </c>
      <c r="BW4" s="7">
        <v>62</v>
      </c>
      <c r="BX4" s="7">
        <v>60</v>
      </c>
      <c r="BY4" s="7">
        <v>55</v>
      </c>
      <c r="BZ4" s="7">
        <v>48</v>
      </c>
      <c r="CA4" s="7">
        <v>41</v>
      </c>
      <c r="CB4" s="7">
        <v>96</v>
      </c>
      <c r="CC4" s="7">
        <v>84</v>
      </c>
      <c r="CD4" s="7">
        <v>1547</v>
      </c>
      <c r="CE4" s="7">
        <v>1407</v>
      </c>
      <c r="CF4" s="7">
        <v>158</v>
      </c>
      <c r="CG4" s="7">
        <v>257</v>
      </c>
      <c r="CH4" s="7">
        <v>5779</v>
      </c>
      <c r="CI4" s="7">
        <v>1216</v>
      </c>
      <c r="CJ4" s="7">
        <v>24852</v>
      </c>
      <c r="CK4" s="7">
        <v>4085</v>
      </c>
      <c r="CL4" s="7">
        <v>524</v>
      </c>
      <c r="CM4" s="7">
        <v>1020</v>
      </c>
      <c r="CN4" s="7">
        <v>1193</v>
      </c>
      <c r="CO4" s="7">
        <v>1616</v>
      </c>
      <c r="CP4" s="7">
        <v>1211</v>
      </c>
      <c r="CQ4" s="7">
        <v>1431</v>
      </c>
      <c r="CR4" s="7">
        <v>5403</v>
      </c>
      <c r="CS4" s="7">
        <v>12724</v>
      </c>
      <c r="CT4" s="7">
        <v>1999</v>
      </c>
      <c r="CU4" s="7">
        <v>753</v>
      </c>
      <c r="CV4" s="7">
        <v>263</v>
      </c>
      <c r="CW4" s="7">
        <v>623</v>
      </c>
      <c r="CX4" s="7">
        <v>66</v>
      </c>
      <c r="CY4" s="7">
        <v>18168</v>
      </c>
      <c r="CZ4" s="7">
        <v>9529</v>
      </c>
      <c r="DA4" s="7">
        <v>181</v>
      </c>
      <c r="DB4" s="7">
        <v>524</v>
      </c>
      <c r="DC4" s="7">
        <v>29</v>
      </c>
      <c r="DD4" s="7">
        <v>4928</v>
      </c>
      <c r="DE4" s="7">
        <v>384</v>
      </c>
      <c r="DF4" s="7">
        <v>5110</v>
      </c>
      <c r="DG4" s="7">
        <v>4636</v>
      </c>
      <c r="DH4" s="7">
        <v>0</v>
      </c>
      <c r="DI4" s="7">
        <v>13889</v>
      </c>
      <c r="DJ4" s="7">
        <v>0</v>
      </c>
      <c r="DK4" s="7">
        <v>0</v>
      </c>
      <c r="DL4" s="7">
        <v>151</v>
      </c>
      <c r="DM4" s="7">
        <v>1</v>
      </c>
      <c r="DN4" s="7">
        <v>4</v>
      </c>
      <c r="DO4" s="7">
        <v>1</v>
      </c>
      <c r="DP4" s="7">
        <v>0</v>
      </c>
      <c r="DQ4" s="7">
        <v>1</v>
      </c>
      <c r="DR4" s="7">
        <v>0</v>
      </c>
      <c r="DS4" s="7">
        <v>0</v>
      </c>
      <c r="DT4" s="7">
        <v>429</v>
      </c>
      <c r="DU4" s="7">
        <v>482</v>
      </c>
      <c r="DV4" s="7">
        <v>173</v>
      </c>
      <c r="DW4" s="7">
        <v>190</v>
      </c>
      <c r="DX4" s="7">
        <v>53</v>
      </c>
      <c r="DY4" s="7">
        <v>54</v>
      </c>
      <c r="DZ4" s="7">
        <v>62</v>
      </c>
      <c r="EA4" s="7">
        <v>44</v>
      </c>
      <c r="EB4" s="7">
        <v>20</v>
      </c>
      <c r="EC4" s="7">
        <v>32</v>
      </c>
      <c r="ED4" s="7">
        <v>11</v>
      </c>
      <c r="EE4" s="7">
        <v>20</v>
      </c>
      <c r="EF4" s="7">
        <v>77</v>
      </c>
      <c r="EG4" s="7">
        <v>65</v>
      </c>
      <c r="EH4" s="7">
        <v>678</v>
      </c>
      <c r="EI4" s="7">
        <v>281</v>
      </c>
      <c r="EJ4" s="7">
        <v>78</v>
      </c>
      <c r="EK4" s="7">
        <v>73</v>
      </c>
      <c r="EL4" s="7">
        <v>38</v>
      </c>
      <c r="EM4" s="7">
        <v>26</v>
      </c>
      <c r="EN4" s="7">
        <v>101</v>
      </c>
      <c r="EO4" s="7">
        <v>8175</v>
      </c>
      <c r="EP4" s="7">
        <v>7786</v>
      </c>
      <c r="EQ4" s="7">
        <v>389</v>
      </c>
      <c r="ER4" s="7">
        <v>2472</v>
      </c>
      <c r="ES4" s="7">
        <v>1932</v>
      </c>
      <c r="ET4" s="7">
        <v>1903</v>
      </c>
      <c r="EU4" s="7">
        <v>29</v>
      </c>
      <c r="EV4" s="7">
        <v>8993</v>
      </c>
      <c r="EW4" s="134">
        <v>39.035988328000002</v>
      </c>
      <c r="EX4" s="134">
        <v>19.723332973000002</v>
      </c>
      <c r="EY4" s="134">
        <v>13.952231708999999</v>
      </c>
      <c r="EZ4" s="134">
        <v>26.834540148999999</v>
      </c>
      <c r="FA4" s="134">
        <v>0.45390684100000001</v>
      </c>
      <c r="FB4" s="7">
        <v>1788</v>
      </c>
      <c r="FC4" s="7">
        <v>3963</v>
      </c>
      <c r="FD4" s="7">
        <v>324</v>
      </c>
      <c r="FE4" s="7">
        <v>1877</v>
      </c>
      <c r="FF4" s="7">
        <v>12</v>
      </c>
      <c r="FG4" s="7">
        <v>1232</v>
      </c>
      <c r="FH4" s="7">
        <v>870</v>
      </c>
      <c r="FI4" s="134">
        <v>43.185993732</v>
      </c>
      <c r="FJ4" s="134">
        <v>27.039878957999999</v>
      </c>
      <c r="FK4" s="134">
        <v>25.170215065000001</v>
      </c>
      <c r="FL4" s="134">
        <v>4.6039122447</v>
      </c>
      <c r="FM4" s="151">
        <v>9789</v>
      </c>
      <c r="FN4" s="151">
        <v>4654</v>
      </c>
      <c r="FO4" s="7">
        <v>1509</v>
      </c>
      <c r="FP4" s="7">
        <v>585</v>
      </c>
      <c r="FQ4" s="7">
        <v>150</v>
      </c>
      <c r="FR4" s="7">
        <v>30</v>
      </c>
      <c r="FS4" s="7">
        <v>7545</v>
      </c>
      <c r="FT4" s="7">
        <v>22</v>
      </c>
      <c r="FU4" s="7">
        <v>47</v>
      </c>
      <c r="FV4" s="7">
        <v>30</v>
      </c>
      <c r="FW4" s="7">
        <v>10399</v>
      </c>
      <c r="FX4" s="7">
        <v>4044</v>
      </c>
      <c r="FY4" s="7">
        <v>1455</v>
      </c>
      <c r="FZ4" s="7">
        <v>630</v>
      </c>
      <c r="GA4" s="7">
        <v>165</v>
      </c>
      <c r="GB4" s="7">
        <v>26</v>
      </c>
      <c r="GC4" s="7">
        <v>8148</v>
      </c>
      <c r="GD4" s="7">
        <v>21</v>
      </c>
      <c r="GE4" s="7">
        <v>56</v>
      </c>
      <c r="GF4" s="7">
        <v>31</v>
      </c>
      <c r="GG4" s="7">
        <v>1058</v>
      </c>
      <c r="GH4" s="7">
        <v>1157</v>
      </c>
      <c r="GI4" s="7">
        <v>1162</v>
      </c>
      <c r="GJ4" s="7">
        <v>979</v>
      </c>
      <c r="GK4" s="7">
        <v>675</v>
      </c>
      <c r="GL4" s="7">
        <v>625</v>
      </c>
      <c r="GM4" s="7">
        <v>684</v>
      </c>
      <c r="GN4" s="7">
        <v>652</v>
      </c>
      <c r="GO4" s="7">
        <v>558</v>
      </c>
      <c r="GP4" s="7">
        <v>445</v>
      </c>
      <c r="GQ4" s="7">
        <v>401</v>
      </c>
      <c r="GR4" s="7">
        <v>327</v>
      </c>
      <c r="GS4" s="7">
        <v>307</v>
      </c>
      <c r="GT4" s="7">
        <v>236</v>
      </c>
      <c r="GU4" s="7">
        <v>230</v>
      </c>
      <c r="GV4" s="7">
        <v>152</v>
      </c>
      <c r="GW4" s="7">
        <v>75</v>
      </c>
      <c r="GX4" s="7">
        <v>64</v>
      </c>
      <c r="GY4" s="7">
        <v>1044</v>
      </c>
      <c r="GZ4" s="7">
        <v>1043</v>
      </c>
      <c r="HA4" s="7">
        <v>1037</v>
      </c>
      <c r="HB4" s="7">
        <v>1018</v>
      </c>
      <c r="HC4" s="7">
        <v>858</v>
      </c>
      <c r="HD4" s="7">
        <v>844</v>
      </c>
      <c r="HE4" s="7">
        <v>860</v>
      </c>
      <c r="HF4" s="7">
        <v>808</v>
      </c>
      <c r="HG4" s="7">
        <v>547</v>
      </c>
      <c r="HH4" s="7">
        <v>527</v>
      </c>
      <c r="HI4" s="7">
        <v>469</v>
      </c>
      <c r="HJ4" s="7">
        <v>365</v>
      </c>
      <c r="HK4" s="7">
        <v>297</v>
      </c>
      <c r="HL4" s="7">
        <v>250</v>
      </c>
      <c r="HM4" s="7">
        <v>196</v>
      </c>
      <c r="HN4" s="7">
        <v>121</v>
      </c>
      <c r="HO4" s="7">
        <v>54</v>
      </c>
      <c r="HP4" s="7">
        <v>58</v>
      </c>
      <c r="HQ4" s="7">
        <v>6974</v>
      </c>
      <c r="HR4" s="7">
        <v>1</v>
      </c>
      <c r="HS4" s="7">
        <v>1</v>
      </c>
      <c r="HT4" s="7">
        <v>1</v>
      </c>
      <c r="HU4" s="7">
        <v>1</v>
      </c>
      <c r="HV4" s="7">
        <v>0</v>
      </c>
      <c r="HW4" s="7">
        <v>5</v>
      </c>
      <c r="HX4" s="7">
        <v>14</v>
      </c>
      <c r="HY4" s="7">
        <v>523</v>
      </c>
      <c r="HZ4" s="7">
        <v>1019</v>
      </c>
      <c r="IA4" s="7">
        <v>1192</v>
      </c>
      <c r="IB4" s="7">
        <v>1616</v>
      </c>
      <c r="IC4" s="7">
        <v>1209</v>
      </c>
      <c r="ID4" s="7">
        <v>641</v>
      </c>
      <c r="IE4" s="7">
        <v>367</v>
      </c>
      <c r="IF4" s="7">
        <v>192</v>
      </c>
      <c r="IG4" s="7">
        <v>230</v>
      </c>
      <c r="IH4" s="7">
        <v>2017</v>
      </c>
      <c r="II4" s="7">
        <v>2401</v>
      </c>
      <c r="IJ4" s="7">
        <v>1441</v>
      </c>
      <c r="IK4" s="7">
        <v>677</v>
      </c>
      <c r="IL4" s="7">
        <v>222</v>
      </c>
      <c r="IM4" s="7">
        <v>65</v>
      </c>
      <c r="IN4" s="7">
        <v>11</v>
      </c>
      <c r="IO4" s="7">
        <v>10</v>
      </c>
      <c r="IP4" s="7">
        <v>2</v>
      </c>
      <c r="IQ4" s="7">
        <v>4485</v>
      </c>
      <c r="IR4" s="7">
        <v>1779</v>
      </c>
      <c r="IS4" s="7">
        <v>497</v>
      </c>
      <c r="IT4" s="7">
        <v>93</v>
      </c>
      <c r="IU4" s="7">
        <v>14</v>
      </c>
      <c r="IV4" s="7">
        <v>3299</v>
      </c>
      <c r="IW4" s="7">
        <v>3217</v>
      </c>
      <c r="IX4" s="7">
        <v>34</v>
      </c>
      <c r="IY4" s="7">
        <v>97</v>
      </c>
      <c r="IZ4" s="7">
        <v>62</v>
      </c>
      <c r="JA4" s="7">
        <v>250</v>
      </c>
      <c r="JB4" s="7">
        <v>5189</v>
      </c>
      <c r="JC4" s="7">
        <v>995</v>
      </c>
      <c r="JD4" s="7">
        <v>38</v>
      </c>
      <c r="JE4" s="7">
        <v>46</v>
      </c>
      <c r="JF4" s="151">
        <v>6502.8335829619527</v>
      </c>
      <c r="JG4" s="151">
        <v>466.05937132265137</v>
      </c>
      <c r="JH4" s="7">
        <v>1033</v>
      </c>
      <c r="JI4" s="7">
        <v>5478</v>
      </c>
      <c r="JJ4" s="7">
        <v>445</v>
      </c>
      <c r="JK4" s="7">
        <v>33</v>
      </c>
      <c r="JL4" s="7">
        <v>4834</v>
      </c>
      <c r="JM4" s="7">
        <v>3049</v>
      </c>
      <c r="JN4" s="7">
        <v>894</v>
      </c>
      <c r="JO4" s="7">
        <v>4891</v>
      </c>
      <c r="JP4" s="7">
        <v>6205</v>
      </c>
      <c r="JQ4" s="7">
        <v>427</v>
      </c>
      <c r="JR4" s="7">
        <v>763</v>
      </c>
      <c r="JS4" s="7">
        <v>3620</v>
      </c>
      <c r="JT4" s="7">
        <v>132</v>
      </c>
      <c r="JU4" s="151">
        <v>1396.244257655412</v>
      </c>
      <c r="JV4" s="151">
        <v>4983.789449460116</v>
      </c>
      <c r="JW4" s="151">
        <v>70.102291329651919</v>
      </c>
      <c r="JX4" s="151">
        <v>52.697584516772821</v>
      </c>
      <c r="JY4" s="7">
        <v>6793</v>
      </c>
      <c r="JZ4" s="7">
        <v>28850</v>
      </c>
      <c r="KA4" s="7">
        <v>5</v>
      </c>
      <c r="KB4" s="7">
        <v>3</v>
      </c>
      <c r="KC4" s="7">
        <v>6</v>
      </c>
      <c r="KD4" s="7">
        <v>5</v>
      </c>
      <c r="KE4" s="7">
        <v>0</v>
      </c>
      <c r="KF4" s="7">
        <v>17</v>
      </c>
      <c r="KG4" s="7">
        <v>57</v>
      </c>
      <c r="KH4" s="7">
        <v>4292</v>
      </c>
      <c r="KI4" s="7">
        <v>22753</v>
      </c>
      <c r="KJ4" s="7">
        <v>1750</v>
      </c>
      <c r="KK4" s="7">
        <v>120</v>
      </c>
      <c r="KL4" s="7">
        <v>5776</v>
      </c>
      <c r="KM4" s="7">
        <v>20617</v>
      </c>
      <c r="KN4" s="7">
        <v>290</v>
      </c>
      <c r="KO4" s="7">
        <v>218</v>
      </c>
      <c r="KP4" s="7">
        <v>26901</v>
      </c>
      <c r="KQ4" s="7">
        <v>1928</v>
      </c>
      <c r="KR4" s="7">
        <v>4081</v>
      </c>
      <c r="KS4" s="7">
        <v>4081</v>
      </c>
      <c r="KT4" s="7">
        <v>819</v>
      </c>
      <c r="KU4" s="7">
        <v>271</v>
      </c>
      <c r="KV4" s="7">
        <v>627</v>
      </c>
      <c r="KW4" s="7">
        <v>1</v>
      </c>
      <c r="KX4" s="7">
        <v>726</v>
      </c>
      <c r="KY4" s="7">
        <v>331</v>
      </c>
      <c r="KZ4" s="7">
        <v>699</v>
      </c>
      <c r="LA4" s="7">
        <v>10</v>
      </c>
      <c r="LB4" s="7">
        <v>2220</v>
      </c>
      <c r="LC4" s="7">
        <v>2098</v>
      </c>
      <c r="LD4" s="7">
        <v>1789</v>
      </c>
      <c r="LE4" s="7">
        <v>2331</v>
      </c>
      <c r="LF4" s="7">
        <v>19897</v>
      </c>
      <c r="LG4" s="7">
        <v>46</v>
      </c>
      <c r="LH4" s="7">
        <v>3682</v>
      </c>
      <c r="LI4" s="7">
        <v>469</v>
      </c>
      <c r="LJ4" s="7">
        <v>1682</v>
      </c>
      <c r="LK4" s="7">
        <v>8</v>
      </c>
      <c r="LL4" s="7">
        <v>1309</v>
      </c>
      <c r="LM4" s="7">
        <v>713</v>
      </c>
      <c r="LN4" s="7">
        <v>27</v>
      </c>
      <c r="LO4" s="7">
        <v>3861</v>
      </c>
      <c r="LP4" s="7">
        <v>487</v>
      </c>
      <c r="LQ4" s="7">
        <v>1870</v>
      </c>
      <c r="LR4" s="7">
        <v>23</v>
      </c>
      <c r="LS4" s="7">
        <v>1155</v>
      </c>
      <c r="LT4" s="7">
        <v>544</v>
      </c>
      <c r="LU4" s="232">
        <v>5.9947964492999999</v>
      </c>
      <c r="LV4" s="232">
        <v>6.1927072511999999</v>
      </c>
      <c r="LW4" s="232">
        <v>5.8038291901000001</v>
      </c>
      <c r="LX4" s="7">
        <v>6989</v>
      </c>
      <c r="LY4" s="7">
        <v>28915</v>
      </c>
    </row>
    <row r="5" spans="1:16384" x14ac:dyDescent="0.25">
      <c r="A5" t="s">
        <v>42</v>
      </c>
      <c r="B5" t="s">
        <v>43</v>
      </c>
      <c r="C5" s="7">
        <v>25154</v>
      </c>
      <c r="D5">
        <v>27580</v>
      </c>
      <c r="F5">
        <f t="shared" si="0"/>
        <v>-27580</v>
      </c>
      <c r="G5">
        <f t="shared" si="1"/>
        <v>-100</v>
      </c>
      <c r="H5">
        <v>13891</v>
      </c>
      <c r="I5">
        <v>13689</v>
      </c>
      <c r="J5">
        <v>8696</v>
      </c>
      <c r="K5">
        <v>18884</v>
      </c>
      <c r="L5">
        <v>1406</v>
      </c>
      <c r="M5">
        <v>1433</v>
      </c>
      <c r="N5">
        <v>1608</v>
      </c>
      <c r="O5">
        <v>1630</v>
      </c>
      <c r="P5">
        <v>1200</v>
      </c>
      <c r="Q5">
        <v>902</v>
      </c>
      <c r="R5">
        <v>890</v>
      </c>
      <c r="S5">
        <v>794</v>
      </c>
      <c r="T5">
        <v>774</v>
      </c>
      <c r="U5">
        <v>710</v>
      </c>
      <c r="V5">
        <v>611</v>
      </c>
      <c r="W5">
        <v>497</v>
      </c>
      <c r="X5">
        <v>403</v>
      </c>
      <c r="Y5">
        <v>1028</v>
      </c>
      <c r="Z5" s="7">
        <v>5</v>
      </c>
      <c r="AA5" s="7">
        <v>1408</v>
      </c>
      <c r="AB5" s="7">
        <v>1335</v>
      </c>
      <c r="AC5" s="7">
        <v>1407</v>
      </c>
      <c r="AD5" s="7">
        <v>1657</v>
      </c>
      <c r="AE5" s="7">
        <v>1283</v>
      </c>
      <c r="AF5" s="7">
        <v>974</v>
      </c>
      <c r="AG5" s="7">
        <v>944</v>
      </c>
      <c r="AH5" s="7">
        <v>930</v>
      </c>
      <c r="AI5" s="7">
        <v>788</v>
      </c>
      <c r="AJ5" s="7">
        <v>632</v>
      </c>
      <c r="AK5" s="7">
        <v>575</v>
      </c>
      <c r="AL5" s="7">
        <v>463</v>
      </c>
      <c r="AM5" s="7">
        <v>386</v>
      </c>
      <c r="AN5" s="7">
        <v>902</v>
      </c>
      <c r="AO5" s="7">
        <v>5</v>
      </c>
      <c r="AP5">
        <v>26022</v>
      </c>
      <c r="AQ5">
        <v>972</v>
      </c>
      <c r="AR5">
        <v>89</v>
      </c>
      <c r="AS5">
        <v>460</v>
      </c>
      <c r="AT5">
        <v>37</v>
      </c>
      <c r="AU5" s="7">
        <v>62</v>
      </c>
      <c r="AV5" s="7">
        <v>34</v>
      </c>
      <c r="AW5" s="7">
        <v>28</v>
      </c>
      <c r="AX5" s="7">
        <v>88</v>
      </c>
      <c r="AY5" s="7">
        <v>62</v>
      </c>
      <c r="AZ5" s="7">
        <v>42</v>
      </c>
      <c r="BA5" s="7">
        <v>20</v>
      </c>
      <c r="BB5" s="7">
        <v>0</v>
      </c>
      <c r="BC5" s="7">
        <v>3</v>
      </c>
      <c r="BD5" s="7">
        <v>0</v>
      </c>
      <c r="BE5" s="7">
        <v>1</v>
      </c>
      <c r="BF5" s="7">
        <v>0</v>
      </c>
      <c r="BG5" s="7">
        <v>0</v>
      </c>
      <c r="BH5" s="7">
        <v>3</v>
      </c>
      <c r="BI5" s="7">
        <v>2</v>
      </c>
      <c r="BJ5" s="7">
        <v>2</v>
      </c>
      <c r="BK5" s="7">
        <v>5</v>
      </c>
      <c r="BL5" s="7">
        <v>2</v>
      </c>
      <c r="BM5" s="7">
        <v>4</v>
      </c>
      <c r="BN5" s="7">
        <v>5</v>
      </c>
      <c r="BO5" s="7">
        <v>4</v>
      </c>
      <c r="BP5" s="7">
        <v>7</v>
      </c>
      <c r="BQ5" s="7">
        <v>1</v>
      </c>
      <c r="BR5" s="7">
        <v>3</v>
      </c>
      <c r="BS5" s="7">
        <v>1</v>
      </c>
      <c r="BT5" s="7">
        <v>3</v>
      </c>
      <c r="BU5" s="7">
        <v>2</v>
      </c>
      <c r="BV5" s="7">
        <v>2</v>
      </c>
      <c r="BW5" s="7">
        <v>1</v>
      </c>
      <c r="BX5" s="7">
        <v>1</v>
      </c>
      <c r="BY5" s="7">
        <v>2</v>
      </c>
      <c r="BZ5" s="7">
        <v>1</v>
      </c>
      <c r="CA5" s="7">
        <v>1</v>
      </c>
      <c r="CB5" s="7">
        <v>5</v>
      </c>
      <c r="CC5" s="7">
        <v>1</v>
      </c>
      <c r="CD5" s="7">
        <v>26</v>
      </c>
      <c r="CE5" s="7">
        <v>18</v>
      </c>
      <c r="CF5" s="7">
        <v>0</v>
      </c>
      <c r="CG5" s="7">
        <v>0</v>
      </c>
      <c r="CH5" s="7">
        <v>5342</v>
      </c>
      <c r="CI5" s="7">
        <v>1566</v>
      </c>
      <c r="CJ5" s="7">
        <v>21776</v>
      </c>
      <c r="CK5" s="7">
        <v>5302</v>
      </c>
      <c r="CL5" s="7">
        <v>712</v>
      </c>
      <c r="CM5" s="7">
        <v>1026</v>
      </c>
      <c r="CN5" s="7">
        <v>1309</v>
      </c>
      <c r="CO5" s="7">
        <v>1474</v>
      </c>
      <c r="CP5" s="7">
        <v>1138</v>
      </c>
      <c r="CQ5" s="7">
        <v>1249</v>
      </c>
      <c r="CR5" s="7">
        <v>4785</v>
      </c>
      <c r="CS5" s="7">
        <v>11311</v>
      </c>
      <c r="CT5" s="7">
        <v>2292</v>
      </c>
      <c r="CU5" s="7">
        <v>567</v>
      </c>
      <c r="CV5" s="7">
        <v>202</v>
      </c>
      <c r="CW5" s="7">
        <v>778</v>
      </c>
      <c r="CX5" s="7">
        <v>179</v>
      </c>
      <c r="CY5" s="7">
        <v>15958</v>
      </c>
      <c r="CZ5" s="7">
        <v>9619</v>
      </c>
      <c r="DA5" s="7">
        <v>535</v>
      </c>
      <c r="DB5" s="7">
        <v>712</v>
      </c>
      <c r="DC5" s="7">
        <v>52</v>
      </c>
      <c r="DD5" s="7">
        <v>5780</v>
      </c>
      <c r="DE5" s="7">
        <v>4024</v>
      </c>
      <c r="DF5" s="7">
        <v>9080</v>
      </c>
      <c r="DG5" s="7">
        <v>2502</v>
      </c>
      <c r="DH5" s="7">
        <v>6194</v>
      </c>
      <c r="DI5" s="7">
        <v>0</v>
      </c>
      <c r="DJ5" s="7">
        <v>0</v>
      </c>
      <c r="DK5" s="7">
        <v>0</v>
      </c>
      <c r="DL5" s="7">
        <v>192</v>
      </c>
      <c r="DM5" s="7">
        <v>11</v>
      </c>
      <c r="DN5" s="7">
        <v>11</v>
      </c>
      <c r="DO5" s="7">
        <v>1</v>
      </c>
      <c r="DP5" s="7">
        <v>1</v>
      </c>
      <c r="DQ5" s="7">
        <v>0</v>
      </c>
      <c r="DR5" s="7">
        <v>0</v>
      </c>
      <c r="DS5" s="7">
        <v>0</v>
      </c>
      <c r="DT5" s="7">
        <v>415</v>
      </c>
      <c r="DU5" s="7">
        <v>410</v>
      </c>
      <c r="DV5" s="7">
        <v>293</v>
      </c>
      <c r="DW5" s="7">
        <v>228</v>
      </c>
      <c r="DX5" s="7">
        <v>103</v>
      </c>
      <c r="DY5" s="7">
        <v>64</v>
      </c>
      <c r="DZ5" s="7">
        <v>85</v>
      </c>
      <c r="EA5" s="7">
        <v>67</v>
      </c>
      <c r="EB5" s="7">
        <v>14</v>
      </c>
      <c r="EC5" s="7">
        <v>15</v>
      </c>
      <c r="ED5" s="7">
        <v>29</v>
      </c>
      <c r="EE5" s="7">
        <v>22</v>
      </c>
      <c r="EF5" s="7">
        <v>54</v>
      </c>
      <c r="EG5" s="7">
        <v>53</v>
      </c>
      <c r="EH5" s="7">
        <v>460</v>
      </c>
      <c r="EI5" s="7">
        <v>270</v>
      </c>
      <c r="EJ5" s="7">
        <v>67</v>
      </c>
      <c r="EK5" s="7">
        <v>65</v>
      </c>
      <c r="EL5" s="7">
        <v>10</v>
      </c>
      <c r="EM5" s="7">
        <v>29</v>
      </c>
      <c r="EN5" s="7">
        <v>48</v>
      </c>
      <c r="EO5" s="7">
        <v>7936</v>
      </c>
      <c r="EP5" s="7">
        <v>7703</v>
      </c>
      <c r="EQ5" s="7">
        <v>233</v>
      </c>
      <c r="ER5" s="7">
        <v>2473</v>
      </c>
      <c r="ES5" s="7">
        <v>1955</v>
      </c>
      <c r="ET5" s="7">
        <v>1910</v>
      </c>
      <c r="EU5" s="7">
        <v>45</v>
      </c>
      <c r="EV5" s="7">
        <v>8393</v>
      </c>
      <c r="EW5" s="134">
        <v>58.141814617000001</v>
      </c>
      <c r="EX5" s="134">
        <v>10.608866137</v>
      </c>
      <c r="EY5" s="134">
        <v>12.841738373</v>
      </c>
      <c r="EZ5" s="134">
        <v>17.710489053</v>
      </c>
      <c r="FA5" s="134">
        <v>0.69709182010000004</v>
      </c>
      <c r="FB5" s="7">
        <v>1720</v>
      </c>
      <c r="FC5" s="7">
        <v>4039</v>
      </c>
      <c r="FD5" s="7">
        <v>410</v>
      </c>
      <c r="FE5" s="7">
        <v>1779</v>
      </c>
      <c r="FF5" s="7">
        <v>5</v>
      </c>
      <c r="FG5" s="7">
        <v>1309</v>
      </c>
      <c r="FH5" s="7">
        <v>612</v>
      </c>
      <c r="FI5" s="134">
        <v>38.45986276</v>
      </c>
      <c r="FJ5" s="134">
        <v>41.879969502000002</v>
      </c>
      <c r="FK5" s="134">
        <v>16.926260756000001</v>
      </c>
      <c r="FL5" s="134">
        <v>2.7339069818000001</v>
      </c>
      <c r="FM5" s="151">
        <v>6792</v>
      </c>
      <c r="FN5" s="151">
        <v>7068</v>
      </c>
      <c r="FO5" s="7">
        <v>1221</v>
      </c>
      <c r="FP5" s="7">
        <v>263</v>
      </c>
      <c r="FQ5" s="7">
        <v>24</v>
      </c>
      <c r="FR5" s="7">
        <v>21</v>
      </c>
      <c r="FS5" s="7">
        <v>5140</v>
      </c>
      <c r="FT5" s="7">
        <v>25</v>
      </c>
      <c r="FU5" s="7">
        <v>203</v>
      </c>
      <c r="FV5" s="7">
        <v>31</v>
      </c>
      <c r="FW5" s="7">
        <v>7507</v>
      </c>
      <c r="FX5" s="7">
        <v>6151</v>
      </c>
      <c r="FY5" s="7">
        <v>1238</v>
      </c>
      <c r="FZ5" s="7">
        <v>309</v>
      </c>
      <c r="GA5" s="7">
        <v>26</v>
      </c>
      <c r="GB5" s="7">
        <v>25</v>
      </c>
      <c r="GC5" s="7">
        <v>5793</v>
      </c>
      <c r="GD5" s="7">
        <v>35</v>
      </c>
      <c r="GE5" s="7">
        <v>192</v>
      </c>
      <c r="GF5" s="7">
        <v>31</v>
      </c>
      <c r="GG5" s="7">
        <v>770</v>
      </c>
      <c r="GH5" s="7">
        <v>757</v>
      </c>
      <c r="GI5" s="7">
        <v>884</v>
      </c>
      <c r="GJ5" s="7">
        <v>796</v>
      </c>
      <c r="GK5" s="7">
        <v>433</v>
      </c>
      <c r="GL5" s="7">
        <v>371</v>
      </c>
      <c r="GM5" s="7">
        <v>389</v>
      </c>
      <c r="GN5" s="7">
        <v>380</v>
      </c>
      <c r="GO5" s="7">
        <v>357</v>
      </c>
      <c r="GP5" s="7">
        <v>347</v>
      </c>
      <c r="GQ5" s="7">
        <v>309</v>
      </c>
      <c r="GR5" s="7">
        <v>254</v>
      </c>
      <c r="GS5" s="7">
        <v>196</v>
      </c>
      <c r="GT5" s="7">
        <v>163</v>
      </c>
      <c r="GU5" s="7">
        <v>150</v>
      </c>
      <c r="GV5" s="7">
        <v>98</v>
      </c>
      <c r="GW5" s="7">
        <v>66</v>
      </c>
      <c r="GX5" s="7">
        <v>69</v>
      </c>
      <c r="GY5" s="7">
        <v>726</v>
      </c>
      <c r="GZ5" s="7">
        <v>738</v>
      </c>
      <c r="HA5" s="7">
        <v>762</v>
      </c>
      <c r="HB5" s="7">
        <v>902</v>
      </c>
      <c r="HC5" s="7">
        <v>622</v>
      </c>
      <c r="HD5" s="7">
        <v>504</v>
      </c>
      <c r="HE5" s="7">
        <v>545</v>
      </c>
      <c r="HF5" s="7">
        <v>531</v>
      </c>
      <c r="HG5" s="7">
        <v>446</v>
      </c>
      <c r="HH5" s="7">
        <v>382</v>
      </c>
      <c r="HI5" s="7">
        <v>330</v>
      </c>
      <c r="HJ5" s="7">
        <v>273</v>
      </c>
      <c r="HK5" s="7">
        <v>218</v>
      </c>
      <c r="HL5" s="7">
        <v>181</v>
      </c>
      <c r="HM5" s="7">
        <v>165</v>
      </c>
      <c r="HN5" s="7">
        <v>91</v>
      </c>
      <c r="HO5" s="7">
        <v>47</v>
      </c>
      <c r="HP5" s="7">
        <v>43</v>
      </c>
      <c r="HQ5" s="7">
        <v>6835</v>
      </c>
      <c r="HR5" s="7">
        <v>2</v>
      </c>
      <c r="HS5" s="7">
        <v>38</v>
      </c>
      <c r="HT5" s="7">
        <v>3</v>
      </c>
      <c r="HU5" s="7">
        <v>1</v>
      </c>
      <c r="HV5" s="7">
        <v>1</v>
      </c>
      <c r="HW5" s="7">
        <v>1</v>
      </c>
      <c r="HX5" s="7">
        <v>28</v>
      </c>
      <c r="HY5" s="7">
        <v>711</v>
      </c>
      <c r="HZ5" s="7">
        <v>1025</v>
      </c>
      <c r="IA5" s="7">
        <v>1308</v>
      </c>
      <c r="IB5" s="7">
        <v>1474</v>
      </c>
      <c r="IC5" s="7">
        <v>1138</v>
      </c>
      <c r="ID5" s="7">
        <v>608</v>
      </c>
      <c r="IE5" s="7">
        <v>339</v>
      </c>
      <c r="IF5" s="7">
        <v>135</v>
      </c>
      <c r="IG5" s="7">
        <v>167</v>
      </c>
      <c r="IH5" s="7">
        <v>998</v>
      </c>
      <c r="II5" s="7">
        <v>2143</v>
      </c>
      <c r="IJ5" s="7">
        <v>1876</v>
      </c>
      <c r="IK5" s="7">
        <v>1156</v>
      </c>
      <c r="IL5" s="7">
        <v>469</v>
      </c>
      <c r="IM5" s="7">
        <v>175</v>
      </c>
      <c r="IN5" s="7">
        <v>43</v>
      </c>
      <c r="IO5" s="7">
        <v>6</v>
      </c>
      <c r="IP5" s="7">
        <v>11</v>
      </c>
      <c r="IQ5" s="7">
        <v>3649</v>
      </c>
      <c r="IR5" s="7">
        <v>2279</v>
      </c>
      <c r="IS5" s="7">
        <v>785</v>
      </c>
      <c r="IT5" s="7">
        <v>152</v>
      </c>
      <c r="IU5" s="7">
        <v>17</v>
      </c>
      <c r="IV5" s="7">
        <v>1823</v>
      </c>
      <c r="IW5" s="7">
        <v>779</v>
      </c>
      <c r="IX5" s="7">
        <v>327</v>
      </c>
      <c r="IY5" s="7">
        <v>269</v>
      </c>
      <c r="IZ5" s="7">
        <v>2</v>
      </c>
      <c r="JA5" s="7">
        <v>3666</v>
      </c>
      <c r="JB5" s="7">
        <v>2297</v>
      </c>
      <c r="JC5" s="7">
        <v>3690</v>
      </c>
      <c r="JD5" s="7">
        <v>33</v>
      </c>
      <c r="JE5" s="7">
        <v>27</v>
      </c>
      <c r="JF5" s="151">
        <v>6188.8314285182187</v>
      </c>
      <c r="JG5" s="151">
        <v>698.5044911695818</v>
      </c>
      <c r="JH5" s="7">
        <v>1519</v>
      </c>
      <c r="JI5" s="7">
        <v>5182</v>
      </c>
      <c r="JJ5" s="7">
        <v>173</v>
      </c>
      <c r="JK5" s="7">
        <v>31</v>
      </c>
      <c r="JL5" s="7">
        <v>5037</v>
      </c>
      <c r="JM5" s="7">
        <v>3130</v>
      </c>
      <c r="JN5" s="7">
        <v>1101</v>
      </c>
      <c r="JO5" s="7">
        <v>4557</v>
      </c>
      <c r="JP5" s="7">
        <v>5739</v>
      </c>
      <c r="JQ5" s="7">
        <v>359</v>
      </c>
      <c r="JR5" s="7">
        <v>1188</v>
      </c>
      <c r="JS5" s="7">
        <v>2498</v>
      </c>
      <c r="JT5" s="7">
        <v>158</v>
      </c>
      <c r="JU5" s="151">
        <v>408.18377862356857</v>
      </c>
      <c r="JV5" s="151">
        <v>5682.1733133017142</v>
      </c>
      <c r="JW5" s="151">
        <v>81.126526001434257</v>
      </c>
      <c r="JX5" s="151">
        <v>17.347810591501666</v>
      </c>
      <c r="JY5" s="7">
        <v>6654</v>
      </c>
      <c r="JZ5" s="7">
        <v>26859</v>
      </c>
      <c r="KA5" s="7">
        <v>5</v>
      </c>
      <c r="KB5" s="7">
        <v>108</v>
      </c>
      <c r="KC5" s="7">
        <v>10</v>
      </c>
      <c r="KD5" s="7">
        <v>1</v>
      </c>
      <c r="KE5" s="7">
        <v>3</v>
      </c>
      <c r="KF5" s="7">
        <v>2</v>
      </c>
      <c r="KG5" s="7">
        <v>93</v>
      </c>
      <c r="KH5" s="7">
        <v>6017</v>
      </c>
      <c r="KI5" s="7">
        <v>20322</v>
      </c>
      <c r="KJ5" s="7">
        <v>633</v>
      </c>
      <c r="KK5" s="7">
        <v>100</v>
      </c>
      <c r="KL5" s="7">
        <v>1600</v>
      </c>
      <c r="KM5" s="7">
        <v>22273</v>
      </c>
      <c r="KN5" s="7">
        <v>318</v>
      </c>
      <c r="KO5" s="7">
        <v>68</v>
      </c>
      <c r="KP5" s="7">
        <v>24259</v>
      </c>
      <c r="KQ5" s="7">
        <v>2738</v>
      </c>
      <c r="KR5" s="7">
        <v>4160</v>
      </c>
      <c r="KS5" s="7">
        <v>4160</v>
      </c>
      <c r="KT5" s="7">
        <v>805</v>
      </c>
      <c r="KU5" s="7">
        <v>323</v>
      </c>
      <c r="KV5" s="7">
        <v>774</v>
      </c>
      <c r="KW5" s="7">
        <v>1</v>
      </c>
      <c r="KX5" s="7">
        <v>725</v>
      </c>
      <c r="KY5" s="7">
        <v>296</v>
      </c>
      <c r="KZ5" s="7">
        <v>767</v>
      </c>
      <c r="LA5" s="7">
        <v>0</v>
      </c>
      <c r="LB5" s="7">
        <v>2223</v>
      </c>
      <c r="LC5" s="7">
        <v>2033</v>
      </c>
      <c r="LD5" s="7">
        <v>1539</v>
      </c>
      <c r="LE5" s="7">
        <v>1880</v>
      </c>
      <c r="LF5" s="7">
        <v>18973</v>
      </c>
      <c r="LG5" s="7">
        <v>57</v>
      </c>
      <c r="LH5" s="7">
        <v>3591</v>
      </c>
      <c r="LI5" s="7">
        <v>606</v>
      </c>
      <c r="LJ5" s="7">
        <v>1638</v>
      </c>
      <c r="LK5" s="7">
        <v>5</v>
      </c>
      <c r="LL5" s="7">
        <v>1376</v>
      </c>
      <c r="LM5" s="7">
        <v>494</v>
      </c>
      <c r="LN5" s="7">
        <v>54</v>
      </c>
      <c r="LO5" s="7">
        <v>3631</v>
      </c>
      <c r="LP5" s="7">
        <v>550</v>
      </c>
      <c r="LQ5" s="7">
        <v>1677</v>
      </c>
      <c r="LR5" s="7">
        <v>4</v>
      </c>
      <c r="LS5" s="7">
        <v>1315</v>
      </c>
      <c r="LT5" s="7">
        <v>409</v>
      </c>
      <c r="LU5" s="232">
        <v>5.9596868055999996</v>
      </c>
      <c r="LV5" s="232">
        <v>6.0727582171999996</v>
      </c>
      <c r="LW5" s="232">
        <v>5.8478054942000002</v>
      </c>
      <c r="LX5" s="7">
        <v>6905</v>
      </c>
      <c r="LY5" s="7">
        <v>27072</v>
      </c>
    </row>
    <row r="6" spans="1:16384" x14ac:dyDescent="0.25">
      <c r="A6" t="s">
        <v>260</v>
      </c>
      <c r="B6" t="s">
        <v>261</v>
      </c>
      <c r="C6" s="7">
        <v>3635</v>
      </c>
      <c r="D6">
        <v>5072</v>
      </c>
      <c r="F6">
        <f t="shared" si="0"/>
        <v>-5072</v>
      </c>
      <c r="G6">
        <f t="shared" si="1"/>
        <v>-100</v>
      </c>
      <c r="H6">
        <v>2438</v>
      </c>
      <c r="I6">
        <v>2634</v>
      </c>
      <c r="J6">
        <v>0</v>
      </c>
      <c r="K6">
        <v>5072</v>
      </c>
      <c r="L6" s="7">
        <v>405</v>
      </c>
      <c r="M6" s="7">
        <v>356</v>
      </c>
      <c r="N6" s="7">
        <v>344</v>
      </c>
      <c r="O6" s="7">
        <v>259</v>
      </c>
      <c r="P6" s="7">
        <v>225</v>
      </c>
      <c r="Q6" s="7">
        <v>165</v>
      </c>
      <c r="R6" s="7">
        <v>115</v>
      </c>
      <c r="S6" s="7">
        <v>76</v>
      </c>
      <c r="T6" s="7">
        <v>80</v>
      </c>
      <c r="U6" s="7">
        <v>56</v>
      </c>
      <c r="V6" s="7">
        <v>54</v>
      </c>
      <c r="W6" s="7">
        <v>46</v>
      </c>
      <c r="X6" s="7">
        <v>30</v>
      </c>
      <c r="Y6" s="7">
        <v>62</v>
      </c>
      <c r="Z6" s="7">
        <v>165</v>
      </c>
      <c r="AA6" s="7">
        <v>445</v>
      </c>
      <c r="AB6" s="7">
        <v>399</v>
      </c>
      <c r="AC6" s="7">
        <v>326</v>
      </c>
      <c r="AD6" s="7">
        <v>291</v>
      </c>
      <c r="AE6" s="7">
        <v>224</v>
      </c>
      <c r="AF6" s="7">
        <v>180</v>
      </c>
      <c r="AG6" s="7">
        <v>121</v>
      </c>
      <c r="AH6" s="7">
        <v>107</v>
      </c>
      <c r="AI6" s="7">
        <v>76</v>
      </c>
      <c r="AJ6" s="7">
        <v>76</v>
      </c>
      <c r="AK6" s="7">
        <v>65</v>
      </c>
      <c r="AL6" s="7">
        <v>44</v>
      </c>
      <c r="AM6" s="7">
        <v>31</v>
      </c>
      <c r="AN6" s="7">
        <v>82</v>
      </c>
      <c r="AO6" s="7">
        <v>167</v>
      </c>
      <c r="AP6">
        <v>4698</v>
      </c>
      <c r="AQ6">
        <v>2</v>
      </c>
      <c r="AR6">
        <v>1</v>
      </c>
      <c r="AS6" t="s">
        <v>358</v>
      </c>
      <c r="AT6">
        <v>371</v>
      </c>
      <c r="AU6" s="7">
        <v>4157</v>
      </c>
      <c r="AV6" s="7">
        <v>1988</v>
      </c>
      <c r="AW6" s="7">
        <v>2169</v>
      </c>
      <c r="AX6" s="7">
        <v>2488</v>
      </c>
      <c r="AY6" s="7">
        <v>4157</v>
      </c>
      <c r="AZ6" s="7">
        <v>4157</v>
      </c>
      <c r="BA6" s="7">
        <v>0</v>
      </c>
      <c r="BB6" s="7">
        <v>146</v>
      </c>
      <c r="BC6" s="7">
        <v>173</v>
      </c>
      <c r="BD6" s="7">
        <v>344</v>
      </c>
      <c r="BE6" s="7">
        <v>394</v>
      </c>
      <c r="BF6" s="7">
        <v>338</v>
      </c>
      <c r="BG6" s="7">
        <v>320</v>
      </c>
      <c r="BH6" s="7">
        <v>255</v>
      </c>
      <c r="BI6" s="7">
        <v>286</v>
      </c>
      <c r="BJ6" s="7">
        <v>225</v>
      </c>
      <c r="BK6" s="7">
        <v>220</v>
      </c>
      <c r="BL6" s="7">
        <v>163</v>
      </c>
      <c r="BM6" s="7">
        <v>177</v>
      </c>
      <c r="BN6" s="7">
        <v>115</v>
      </c>
      <c r="BO6" s="7">
        <v>120</v>
      </c>
      <c r="BP6" s="7">
        <v>74</v>
      </c>
      <c r="BQ6" s="7">
        <v>106</v>
      </c>
      <c r="BR6" s="7">
        <v>80</v>
      </c>
      <c r="BS6" s="7">
        <v>75</v>
      </c>
      <c r="BT6" s="7">
        <v>56</v>
      </c>
      <c r="BU6" s="7">
        <v>76</v>
      </c>
      <c r="BV6" s="7">
        <v>54</v>
      </c>
      <c r="BW6" s="7">
        <v>65</v>
      </c>
      <c r="BX6" s="7">
        <v>46</v>
      </c>
      <c r="BY6" s="7">
        <v>44</v>
      </c>
      <c r="BZ6" s="7">
        <v>30</v>
      </c>
      <c r="CA6" s="7">
        <v>31</v>
      </c>
      <c r="CB6" s="7">
        <v>62</v>
      </c>
      <c r="CC6" s="7">
        <v>82</v>
      </c>
      <c r="CD6" s="7">
        <v>982</v>
      </c>
      <c r="CE6" s="7">
        <v>548</v>
      </c>
      <c r="CF6" s="7">
        <v>837</v>
      </c>
      <c r="CG6" s="7">
        <v>1428</v>
      </c>
      <c r="CH6" s="7">
        <v>731</v>
      </c>
      <c r="CI6" s="7">
        <v>130</v>
      </c>
      <c r="CJ6" s="7">
        <v>4237</v>
      </c>
      <c r="CK6" s="7">
        <v>511</v>
      </c>
      <c r="CL6" s="7">
        <v>52</v>
      </c>
      <c r="CM6" s="7">
        <v>82</v>
      </c>
      <c r="CN6" s="7">
        <v>96</v>
      </c>
      <c r="CO6" s="7">
        <v>100</v>
      </c>
      <c r="CP6" s="7">
        <v>106</v>
      </c>
      <c r="CQ6" s="7">
        <v>425</v>
      </c>
      <c r="CR6" s="7">
        <v>706</v>
      </c>
      <c r="CS6" s="7">
        <v>2862</v>
      </c>
      <c r="CT6" s="7">
        <v>113</v>
      </c>
      <c r="CU6" s="7">
        <v>67</v>
      </c>
      <c r="CV6" s="7">
        <v>25</v>
      </c>
      <c r="CW6" s="7">
        <v>52</v>
      </c>
      <c r="CX6" s="7">
        <v>0</v>
      </c>
      <c r="CY6" s="7">
        <v>3458</v>
      </c>
      <c r="CZ6" s="7">
        <v>864</v>
      </c>
      <c r="DA6" s="7">
        <v>0</v>
      </c>
      <c r="DB6" s="7">
        <v>52</v>
      </c>
      <c r="DC6" s="7">
        <v>0</v>
      </c>
      <c r="DD6" s="7">
        <v>2170</v>
      </c>
      <c r="DE6" s="7">
        <v>1629</v>
      </c>
      <c r="DF6" s="7">
        <v>1273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16</v>
      </c>
      <c r="DM6" s="7">
        <v>4</v>
      </c>
      <c r="DN6" s="7">
        <v>1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11</v>
      </c>
      <c r="DU6" s="7">
        <v>18</v>
      </c>
      <c r="DV6" s="7">
        <v>8</v>
      </c>
      <c r="DW6" s="7">
        <v>10</v>
      </c>
      <c r="DX6" s="7">
        <v>1</v>
      </c>
      <c r="DY6" s="7">
        <v>2</v>
      </c>
      <c r="DZ6" s="7">
        <v>2</v>
      </c>
      <c r="EA6" s="7">
        <v>4</v>
      </c>
      <c r="EB6" s="7">
        <v>1</v>
      </c>
      <c r="EC6" s="7">
        <v>0</v>
      </c>
      <c r="ED6" s="7">
        <v>0</v>
      </c>
      <c r="EE6" s="7">
        <v>0</v>
      </c>
      <c r="EF6" s="7">
        <v>2</v>
      </c>
      <c r="EG6" s="7">
        <v>3</v>
      </c>
      <c r="EH6" s="7">
        <v>22</v>
      </c>
      <c r="EI6" s="7">
        <v>16</v>
      </c>
      <c r="EJ6" s="7">
        <v>3</v>
      </c>
      <c r="EK6" s="7">
        <v>5</v>
      </c>
      <c r="EL6" s="7">
        <v>1</v>
      </c>
      <c r="EM6" s="7">
        <v>0</v>
      </c>
      <c r="EN6" s="7">
        <v>4</v>
      </c>
      <c r="EO6" s="7">
        <v>966</v>
      </c>
      <c r="EP6" s="7">
        <v>966</v>
      </c>
      <c r="EQ6" s="7">
        <v>0</v>
      </c>
      <c r="ER6" s="7">
        <v>401</v>
      </c>
      <c r="ES6" s="7">
        <v>105</v>
      </c>
      <c r="ET6" s="7">
        <v>104</v>
      </c>
      <c r="EU6" s="7">
        <v>1</v>
      </c>
      <c r="EV6" s="7">
        <v>1393</v>
      </c>
      <c r="EW6" s="134">
        <v>92.429906541999998</v>
      </c>
      <c r="EX6" s="134">
        <v>3.4579439251999999</v>
      </c>
      <c r="EY6" s="134">
        <v>0.93457943929999998</v>
      </c>
      <c r="EZ6" s="134">
        <v>2.3364485981000001</v>
      </c>
      <c r="FA6" s="134">
        <v>0.84112149530000002</v>
      </c>
      <c r="FB6" s="7">
        <v>195</v>
      </c>
      <c r="FC6" s="7">
        <v>707</v>
      </c>
      <c r="FD6" s="7">
        <v>14</v>
      </c>
      <c r="FE6" s="7">
        <v>132</v>
      </c>
      <c r="FF6" s="7">
        <v>0</v>
      </c>
      <c r="FG6" s="7">
        <v>23</v>
      </c>
      <c r="FH6" s="7">
        <v>0</v>
      </c>
      <c r="FI6" s="134">
        <v>91.869158878999997</v>
      </c>
      <c r="FJ6" s="134">
        <v>2.9906542055999998</v>
      </c>
      <c r="FK6" s="134">
        <v>1.2149532709999999</v>
      </c>
      <c r="FL6" s="134">
        <v>3.9252336449</v>
      </c>
      <c r="FM6" s="151">
        <v>1725</v>
      </c>
      <c r="FN6" s="151">
        <v>274</v>
      </c>
      <c r="FO6" s="7">
        <v>41</v>
      </c>
      <c r="FP6" s="7">
        <v>0</v>
      </c>
      <c r="FQ6" s="7">
        <v>0</v>
      </c>
      <c r="FR6" s="7">
        <v>0</v>
      </c>
      <c r="FS6" s="7">
        <v>1647</v>
      </c>
      <c r="FT6" s="7">
        <v>1</v>
      </c>
      <c r="FU6" s="7">
        <v>36</v>
      </c>
      <c r="FV6" s="7">
        <v>439</v>
      </c>
      <c r="FW6" s="7">
        <v>1920</v>
      </c>
      <c r="FX6" s="7">
        <v>271</v>
      </c>
      <c r="FY6" s="7">
        <v>41</v>
      </c>
      <c r="FZ6" s="7">
        <v>0</v>
      </c>
      <c r="GA6" s="7">
        <v>2</v>
      </c>
      <c r="GB6" s="7">
        <v>0</v>
      </c>
      <c r="GC6" s="7">
        <v>1841</v>
      </c>
      <c r="GD6" s="7">
        <v>0</v>
      </c>
      <c r="GE6" s="7">
        <v>38</v>
      </c>
      <c r="GF6" s="7">
        <v>443</v>
      </c>
      <c r="GG6" s="7">
        <v>302</v>
      </c>
      <c r="GH6" s="7">
        <v>255</v>
      </c>
      <c r="GI6" s="7">
        <v>259</v>
      </c>
      <c r="GJ6" s="7">
        <v>196</v>
      </c>
      <c r="GK6" s="7">
        <v>185</v>
      </c>
      <c r="GL6" s="7">
        <v>121</v>
      </c>
      <c r="GM6" s="7">
        <v>87</v>
      </c>
      <c r="GN6" s="7">
        <v>51</v>
      </c>
      <c r="GO6" s="7">
        <v>71</v>
      </c>
      <c r="GP6" s="7">
        <v>45</v>
      </c>
      <c r="GQ6" s="7">
        <v>44</v>
      </c>
      <c r="GR6" s="7">
        <v>34</v>
      </c>
      <c r="GS6" s="7">
        <v>21</v>
      </c>
      <c r="GT6" s="7">
        <v>18</v>
      </c>
      <c r="GU6" s="7">
        <v>12</v>
      </c>
      <c r="GV6" s="7">
        <v>8</v>
      </c>
      <c r="GW6" s="7">
        <v>5</v>
      </c>
      <c r="GX6" s="7">
        <v>8</v>
      </c>
      <c r="GY6" s="7">
        <v>334</v>
      </c>
      <c r="GZ6" s="7">
        <v>319</v>
      </c>
      <c r="HA6" s="7">
        <v>258</v>
      </c>
      <c r="HB6" s="7">
        <v>222</v>
      </c>
      <c r="HC6" s="7">
        <v>174</v>
      </c>
      <c r="HD6" s="7">
        <v>134</v>
      </c>
      <c r="HE6" s="7">
        <v>92</v>
      </c>
      <c r="HF6" s="7">
        <v>81</v>
      </c>
      <c r="HG6" s="7">
        <v>68</v>
      </c>
      <c r="HH6" s="7">
        <v>62</v>
      </c>
      <c r="HI6" s="7">
        <v>48</v>
      </c>
      <c r="HJ6" s="7">
        <v>32</v>
      </c>
      <c r="HK6" s="7">
        <v>25</v>
      </c>
      <c r="HL6" s="7">
        <v>22</v>
      </c>
      <c r="HM6" s="7">
        <v>18</v>
      </c>
      <c r="HN6" s="7">
        <v>5</v>
      </c>
      <c r="HO6" s="7">
        <v>9</v>
      </c>
      <c r="HP6" s="7">
        <v>13</v>
      </c>
      <c r="HQ6" s="7">
        <v>847</v>
      </c>
      <c r="HR6" s="7">
        <v>0</v>
      </c>
      <c r="HS6" s="7">
        <v>0</v>
      </c>
      <c r="HT6" s="7">
        <v>0</v>
      </c>
      <c r="HU6" s="7">
        <v>1</v>
      </c>
      <c r="HV6" s="7">
        <v>0</v>
      </c>
      <c r="HW6" s="7">
        <v>0</v>
      </c>
      <c r="HX6" s="7">
        <v>121</v>
      </c>
      <c r="HY6" s="7">
        <v>52</v>
      </c>
      <c r="HZ6" s="7">
        <v>81</v>
      </c>
      <c r="IA6" s="7">
        <v>96</v>
      </c>
      <c r="IB6" s="7">
        <v>100</v>
      </c>
      <c r="IC6" s="7">
        <v>106</v>
      </c>
      <c r="ID6" s="7">
        <v>139</v>
      </c>
      <c r="IE6" s="7">
        <v>93</v>
      </c>
      <c r="IF6" s="7">
        <v>73</v>
      </c>
      <c r="IG6" s="7">
        <v>120</v>
      </c>
      <c r="IH6" s="7">
        <v>200</v>
      </c>
      <c r="II6" s="7">
        <v>537</v>
      </c>
      <c r="IJ6" s="7">
        <v>83</v>
      </c>
      <c r="IK6" s="7">
        <v>18</v>
      </c>
      <c r="IL6" s="7">
        <v>2</v>
      </c>
      <c r="IM6" s="7">
        <v>1</v>
      </c>
      <c r="IN6" s="7">
        <v>1</v>
      </c>
      <c r="IO6" s="7">
        <v>0</v>
      </c>
      <c r="IP6" s="7">
        <v>1</v>
      </c>
      <c r="IQ6" s="7">
        <v>731</v>
      </c>
      <c r="IR6" s="7">
        <v>90</v>
      </c>
      <c r="IS6" s="7">
        <v>18</v>
      </c>
      <c r="IT6" s="7">
        <v>2</v>
      </c>
      <c r="IU6" s="7">
        <v>3</v>
      </c>
      <c r="IV6" s="7">
        <v>108</v>
      </c>
      <c r="IW6" s="7">
        <v>387</v>
      </c>
      <c r="IX6" s="7">
        <v>138</v>
      </c>
      <c r="IY6" s="7">
        <v>3</v>
      </c>
      <c r="IZ6" s="7">
        <v>0</v>
      </c>
      <c r="JA6" s="7">
        <v>216</v>
      </c>
      <c r="JB6" s="7">
        <v>30</v>
      </c>
      <c r="JC6" s="7">
        <v>633</v>
      </c>
      <c r="JD6" s="7">
        <v>3</v>
      </c>
      <c r="JE6" s="7">
        <v>0</v>
      </c>
      <c r="JF6" s="151">
        <v>756.18576274481291</v>
      </c>
      <c r="JG6" s="151">
        <v>95.565922533936785</v>
      </c>
      <c r="JH6" s="7">
        <v>122</v>
      </c>
      <c r="JI6" s="7">
        <v>727</v>
      </c>
      <c r="JJ6" s="7">
        <v>1</v>
      </c>
      <c r="JK6" s="7">
        <v>10</v>
      </c>
      <c r="JL6" s="7">
        <v>10</v>
      </c>
      <c r="JM6" s="7">
        <v>0</v>
      </c>
      <c r="JN6" s="7">
        <v>14</v>
      </c>
      <c r="JO6" s="7">
        <v>381</v>
      </c>
      <c r="JP6" s="7">
        <v>215</v>
      </c>
      <c r="JQ6" s="7">
        <v>0</v>
      </c>
      <c r="JR6" s="7">
        <v>2</v>
      </c>
      <c r="JS6" s="7">
        <v>9</v>
      </c>
      <c r="JT6" s="7">
        <v>4</v>
      </c>
      <c r="JU6" s="151">
        <v>1.8133951144959541</v>
      </c>
      <c r="JV6" s="151">
        <v>388.06655450213418</v>
      </c>
      <c r="JW6" s="151">
        <v>310.81592262460657</v>
      </c>
      <c r="JX6" s="151">
        <v>55.489890503576198</v>
      </c>
      <c r="JY6" s="7">
        <v>785</v>
      </c>
      <c r="JZ6" s="7">
        <v>4674</v>
      </c>
      <c r="KA6" s="7">
        <v>0</v>
      </c>
      <c r="KB6" s="7">
        <v>0</v>
      </c>
      <c r="KC6" s="7">
        <v>0</v>
      </c>
      <c r="KD6" s="7">
        <v>2</v>
      </c>
      <c r="KE6" s="7">
        <v>0</v>
      </c>
      <c r="KF6" s="7">
        <v>0</v>
      </c>
      <c r="KG6" s="7">
        <v>396</v>
      </c>
      <c r="KH6" s="7">
        <v>517</v>
      </c>
      <c r="KI6" s="7">
        <v>4166</v>
      </c>
      <c r="KJ6" s="7">
        <v>5</v>
      </c>
      <c r="KK6" s="7">
        <v>58</v>
      </c>
      <c r="KL6" s="7">
        <v>10</v>
      </c>
      <c r="KM6" s="7">
        <v>2140</v>
      </c>
      <c r="KN6" s="7">
        <v>1714</v>
      </c>
      <c r="KO6" s="7">
        <v>306</v>
      </c>
      <c r="KP6" s="7">
        <v>4170</v>
      </c>
      <c r="KQ6" s="7">
        <v>527</v>
      </c>
      <c r="KR6" s="7">
        <v>810</v>
      </c>
      <c r="KS6" s="7">
        <v>810</v>
      </c>
      <c r="KT6" s="7">
        <v>184</v>
      </c>
      <c r="KU6" s="7">
        <v>72</v>
      </c>
      <c r="KV6" s="7">
        <v>125</v>
      </c>
      <c r="KW6" s="7">
        <v>0</v>
      </c>
      <c r="KX6" s="7">
        <v>208</v>
      </c>
      <c r="KY6" s="7">
        <v>65</v>
      </c>
      <c r="KZ6" s="7">
        <v>77</v>
      </c>
      <c r="LA6" s="7">
        <v>0</v>
      </c>
      <c r="LB6" s="7">
        <v>434</v>
      </c>
      <c r="LC6" s="7">
        <v>430</v>
      </c>
      <c r="LD6" s="7">
        <v>224</v>
      </c>
      <c r="LE6" s="7">
        <v>465</v>
      </c>
      <c r="LF6" s="7">
        <v>2465</v>
      </c>
      <c r="LG6" s="7">
        <v>2</v>
      </c>
      <c r="LH6" s="7">
        <v>703</v>
      </c>
      <c r="LI6" s="7">
        <v>59</v>
      </c>
      <c r="LJ6" s="7">
        <v>162</v>
      </c>
      <c r="LK6" s="7">
        <v>0</v>
      </c>
      <c r="LL6" s="7">
        <v>52</v>
      </c>
      <c r="LM6" s="7">
        <v>0</v>
      </c>
      <c r="LN6" s="7">
        <v>0</v>
      </c>
      <c r="LO6" s="7">
        <v>709</v>
      </c>
      <c r="LP6" s="7">
        <v>36</v>
      </c>
      <c r="LQ6" s="7">
        <v>92</v>
      </c>
      <c r="LR6" s="7">
        <v>0</v>
      </c>
      <c r="LS6" s="7">
        <v>20</v>
      </c>
      <c r="LT6" s="7">
        <v>0</v>
      </c>
      <c r="LU6" s="232">
        <v>4.4947111473000003</v>
      </c>
      <c r="LV6" s="232">
        <v>5.2390745500999998</v>
      </c>
      <c r="LW6" s="232">
        <v>3.8218435320999999</v>
      </c>
      <c r="LX6" s="7">
        <v>860</v>
      </c>
      <c r="LY6" s="7">
        <v>4746</v>
      </c>
    </row>
    <row r="7" spans="1:16384" x14ac:dyDescent="0.25">
      <c r="A7" t="s">
        <v>44</v>
      </c>
      <c r="B7" t="s">
        <v>45</v>
      </c>
      <c r="C7" s="7">
        <v>21948</v>
      </c>
      <c r="D7">
        <v>29865</v>
      </c>
      <c r="F7">
        <f t="shared" si="0"/>
        <v>-29865</v>
      </c>
      <c r="G7">
        <f t="shared" si="1"/>
        <v>-100</v>
      </c>
      <c r="H7">
        <v>15019</v>
      </c>
      <c r="I7">
        <v>14846</v>
      </c>
      <c r="J7">
        <v>9200</v>
      </c>
      <c r="K7">
        <v>20665</v>
      </c>
      <c r="L7" s="7">
        <v>1769</v>
      </c>
      <c r="M7" s="7">
        <v>1877</v>
      </c>
      <c r="N7" s="7">
        <v>1846</v>
      </c>
      <c r="O7" s="7">
        <v>1632</v>
      </c>
      <c r="P7" s="7">
        <v>1281</v>
      </c>
      <c r="Q7" s="7">
        <v>980</v>
      </c>
      <c r="R7" s="7">
        <v>866</v>
      </c>
      <c r="S7" s="7">
        <v>808</v>
      </c>
      <c r="T7" s="7">
        <v>546</v>
      </c>
      <c r="U7" s="7">
        <v>465</v>
      </c>
      <c r="V7" s="7">
        <v>330</v>
      </c>
      <c r="W7" s="7">
        <v>290</v>
      </c>
      <c r="X7" s="7">
        <v>244</v>
      </c>
      <c r="Y7" s="7">
        <v>503</v>
      </c>
      <c r="Z7" s="7">
        <v>1582</v>
      </c>
      <c r="AA7" s="7">
        <v>1629</v>
      </c>
      <c r="AB7" s="7">
        <v>1829</v>
      </c>
      <c r="AC7" s="7">
        <v>1789</v>
      </c>
      <c r="AD7" s="7">
        <v>1609</v>
      </c>
      <c r="AE7" s="7">
        <v>1363</v>
      </c>
      <c r="AF7" s="7">
        <v>1090</v>
      </c>
      <c r="AG7" s="7">
        <v>929</v>
      </c>
      <c r="AH7" s="7">
        <v>757</v>
      </c>
      <c r="AI7" s="7">
        <v>517</v>
      </c>
      <c r="AJ7" s="7">
        <v>445</v>
      </c>
      <c r="AK7" s="7">
        <v>328</v>
      </c>
      <c r="AL7" s="7">
        <v>284</v>
      </c>
      <c r="AM7" s="7">
        <v>246</v>
      </c>
      <c r="AN7" s="7">
        <v>452</v>
      </c>
      <c r="AO7" s="7">
        <v>1579</v>
      </c>
      <c r="AP7">
        <v>26266</v>
      </c>
      <c r="AQ7">
        <v>362</v>
      </c>
      <c r="AR7">
        <v>9</v>
      </c>
      <c r="AS7">
        <v>4</v>
      </c>
      <c r="AT7">
        <v>3224</v>
      </c>
      <c r="AU7" s="7">
        <v>16244</v>
      </c>
      <c r="AV7" s="7">
        <v>8159</v>
      </c>
      <c r="AW7" s="7">
        <v>8085</v>
      </c>
      <c r="AX7" s="7">
        <v>8943</v>
      </c>
      <c r="AY7" s="7">
        <v>16244</v>
      </c>
      <c r="AZ7" s="7">
        <v>13318</v>
      </c>
      <c r="BA7" s="7">
        <v>2926</v>
      </c>
      <c r="BB7" s="7">
        <v>412</v>
      </c>
      <c r="BC7" s="7">
        <v>374</v>
      </c>
      <c r="BD7" s="7">
        <v>1092</v>
      </c>
      <c r="BE7" s="7">
        <v>1074</v>
      </c>
      <c r="BF7" s="7">
        <v>1127</v>
      </c>
      <c r="BG7" s="7">
        <v>1088</v>
      </c>
      <c r="BH7" s="7">
        <v>1002</v>
      </c>
      <c r="BI7" s="7">
        <v>1019</v>
      </c>
      <c r="BJ7" s="7">
        <v>857</v>
      </c>
      <c r="BK7" s="7">
        <v>898</v>
      </c>
      <c r="BL7" s="7">
        <v>659</v>
      </c>
      <c r="BM7" s="7">
        <v>729</v>
      </c>
      <c r="BN7" s="7">
        <v>568</v>
      </c>
      <c r="BO7" s="7">
        <v>639</v>
      </c>
      <c r="BP7" s="7">
        <v>569</v>
      </c>
      <c r="BQ7" s="7">
        <v>534</v>
      </c>
      <c r="BR7" s="7">
        <v>396</v>
      </c>
      <c r="BS7" s="7">
        <v>367</v>
      </c>
      <c r="BT7" s="7">
        <v>353</v>
      </c>
      <c r="BU7" s="7">
        <v>335</v>
      </c>
      <c r="BV7" s="7">
        <v>254</v>
      </c>
      <c r="BW7" s="7">
        <v>244</v>
      </c>
      <c r="BX7" s="7">
        <v>232</v>
      </c>
      <c r="BY7" s="7">
        <v>224</v>
      </c>
      <c r="BZ7" s="7">
        <v>206</v>
      </c>
      <c r="CA7" s="7">
        <v>193</v>
      </c>
      <c r="CB7" s="7">
        <v>432</v>
      </c>
      <c r="CC7" s="7">
        <v>367</v>
      </c>
      <c r="CD7" s="7">
        <v>6743</v>
      </c>
      <c r="CE7" s="7">
        <v>5786</v>
      </c>
      <c r="CF7" s="7">
        <v>1374</v>
      </c>
      <c r="CG7" s="7">
        <v>2248</v>
      </c>
      <c r="CH7" s="7">
        <v>4715</v>
      </c>
      <c r="CI7" s="7">
        <v>550</v>
      </c>
      <c r="CJ7" s="7">
        <v>24627</v>
      </c>
      <c r="CK7" s="7">
        <v>2039</v>
      </c>
      <c r="CL7" s="7">
        <v>195</v>
      </c>
      <c r="CM7" s="7">
        <v>513</v>
      </c>
      <c r="CN7" s="7">
        <v>722</v>
      </c>
      <c r="CO7" s="7">
        <v>1010</v>
      </c>
      <c r="CP7" s="7">
        <v>882</v>
      </c>
      <c r="CQ7" s="7">
        <v>1943</v>
      </c>
      <c r="CR7" s="7">
        <v>4514</v>
      </c>
      <c r="CS7" s="7">
        <v>14042</v>
      </c>
      <c r="CT7" s="7">
        <v>1320</v>
      </c>
      <c r="CU7" s="7">
        <v>643</v>
      </c>
      <c r="CV7" s="7">
        <v>229</v>
      </c>
      <c r="CW7" s="7">
        <v>574</v>
      </c>
      <c r="CX7" s="7">
        <v>25</v>
      </c>
      <c r="CY7" s="7">
        <v>18222</v>
      </c>
      <c r="CZ7" s="7">
        <v>7809</v>
      </c>
      <c r="DA7" s="7">
        <v>87</v>
      </c>
      <c r="DB7" s="7">
        <v>195</v>
      </c>
      <c r="DC7" s="7">
        <v>9</v>
      </c>
      <c r="DD7" s="7">
        <v>7177</v>
      </c>
      <c r="DE7" s="7">
        <v>3898</v>
      </c>
      <c r="DF7" s="7">
        <v>9590</v>
      </c>
      <c r="DG7" s="7">
        <v>0</v>
      </c>
      <c r="DH7" s="7">
        <v>9200</v>
      </c>
      <c r="DI7" s="7">
        <v>0</v>
      </c>
      <c r="DJ7" s="7">
        <v>0</v>
      </c>
      <c r="DK7" s="7">
        <v>0</v>
      </c>
      <c r="DL7" s="7">
        <v>129</v>
      </c>
      <c r="DM7" s="7">
        <v>11</v>
      </c>
      <c r="DN7" s="7">
        <v>13</v>
      </c>
      <c r="DO7" s="7">
        <v>0</v>
      </c>
      <c r="DP7" s="7">
        <v>1</v>
      </c>
      <c r="DQ7" s="7">
        <v>0</v>
      </c>
      <c r="DR7" s="7">
        <v>0</v>
      </c>
      <c r="DS7" s="7">
        <v>0</v>
      </c>
      <c r="DT7" s="7">
        <v>104</v>
      </c>
      <c r="DU7" s="7">
        <v>119</v>
      </c>
      <c r="DV7" s="7">
        <v>71</v>
      </c>
      <c r="DW7" s="7">
        <v>66</v>
      </c>
      <c r="DX7" s="7">
        <v>40</v>
      </c>
      <c r="DY7" s="7">
        <v>30</v>
      </c>
      <c r="DZ7" s="7">
        <v>41</v>
      </c>
      <c r="EA7" s="7">
        <v>61</v>
      </c>
      <c r="EB7" s="7">
        <v>12</v>
      </c>
      <c r="EC7" s="7">
        <v>9</v>
      </c>
      <c r="ED7" s="7">
        <v>5</v>
      </c>
      <c r="EE7" s="7">
        <v>14</v>
      </c>
      <c r="EF7" s="7">
        <v>34</v>
      </c>
      <c r="EG7" s="7">
        <v>23</v>
      </c>
      <c r="EH7" s="7">
        <v>94</v>
      </c>
      <c r="EI7" s="7">
        <v>66</v>
      </c>
      <c r="EJ7" s="7">
        <v>31</v>
      </c>
      <c r="EK7" s="7">
        <v>36</v>
      </c>
      <c r="EL7" s="7">
        <v>9</v>
      </c>
      <c r="EM7" s="7">
        <v>9</v>
      </c>
      <c r="EN7" s="7">
        <v>18</v>
      </c>
      <c r="EO7" s="7">
        <v>6907</v>
      </c>
      <c r="EP7" s="7">
        <v>6792</v>
      </c>
      <c r="EQ7" s="7">
        <v>115</v>
      </c>
      <c r="ER7" s="7">
        <v>2061</v>
      </c>
      <c r="ES7" s="7">
        <v>1077</v>
      </c>
      <c r="ET7" s="7">
        <v>1068</v>
      </c>
      <c r="EU7" s="7">
        <v>9</v>
      </c>
      <c r="EV7" s="7">
        <v>7978</v>
      </c>
      <c r="EW7" s="134">
        <v>69.953621908000002</v>
      </c>
      <c r="EX7" s="134">
        <v>8.5689045935999992</v>
      </c>
      <c r="EY7" s="134">
        <v>7.6413427562000003</v>
      </c>
      <c r="EZ7" s="134">
        <v>13.836130742</v>
      </c>
      <c r="FA7" s="134">
        <v>0</v>
      </c>
      <c r="FB7" s="7">
        <v>1597</v>
      </c>
      <c r="FC7" s="7">
        <v>3773</v>
      </c>
      <c r="FD7" s="7">
        <v>290</v>
      </c>
      <c r="FE7" s="7">
        <v>1311</v>
      </c>
      <c r="FF7" s="7">
        <v>0</v>
      </c>
      <c r="FG7" s="7">
        <v>710</v>
      </c>
      <c r="FH7" s="7">
        <v>289</v>
      </c>
      <c r="FI7" s="134">
        <v>76.744699647000004</v>
      </c>
      <c r="FJ7" s="134">
        <v>7.7075971730999999</v>
      </c>
      <c r="FK7" s="134">
        <v>11.594522968</v>
      </c>
      <c r="FL7" s="134">
        <v>3.9531802119999999</v>
      </c>
      <c r="FM7" s="151">
        <v>3692</v>
      </c>
      <c r="FN7" s="151">
        <v>9712</v>
      </c>
      <c r="FO7" s="7">
        <v>616</v>
      </c>
      <c r="FP7" s="7">
        <v>213</v>
      </c>
      <c r="FQ7" s="7">
        <v>29</v>
      </c>
      <c r="FR7" s="7">
        <v>165</v>
      </c>
      <c r="FS7" s="7">
        <v>2731</v>
      </c>
      <c r="FT7" s="7">
        <v>24</v>
      </c>
      <c r="FU7" s="7">
        <v>8</v>
      </c>
      <c r="FV7" s="7">
        <v>1615</v>
      </c>
      <c r="FW7" s="7">
        <v>3747</v>
      </c>
      <c r="FX7" s="7">
        <v>9489</v>
      </c>
      <c r="FY7" s="7">
        <v>648</v>
      </c>
      <c r="FZ7" s="7">
        <v>196</v>
      </c>
      <c r="GA7" s="7">
        <v>17</v>
      </c>
      <c r="GB7" s="7">
        <v>113</v>
      </c>
      <c r="GC7" s="7">
        <v>2853</v>
      </c>
      <c r="GD7" s="7">
        <v>10</v>
      </c>
      <c r="GE7" s="7">
        <v>4</v>
      </c>
      <c r="GF7" s="7">
        <v>1610</v>
      </c>
      <c r="GG7" s="7">
        <v>421</v>
      </c>
      <c r="GH7" s="7">
        <v>488</v>
      </c>
      <c r="GI7" s="7">
        <v>506</v>
      </c>
      <c r="GJ7" s="7">
        <v>394</v>
      </c>
      <c r="GK7" s="7">
        <v>291</v>
      </c>
      <c r="GL7" s="7">
        <v>294</v>
      </c>
      <c r="GM7" s="7">
        <v>286</v>
      </c>
      <c r="GN7" s="7">
        <v>262</v>
      </c>
      <c r="GO7" s="7">
        <v>200</v>
      </c>
      <c r="GP7" s="7">
        <v>152</v>
      </c>
      <c r="GQ7" s="7">
        <v>106</v>
      </c>
      <c r="GR7" s="7">
        <v>82</v>
      </c>
      <c r="GS7" s="7">
        <v>72</v>
      </c>
      <c r="GT7" s="7">
        <v>44</v>
      </c>
      <c r="GU7" s="7">
        <v>47</v>
      </c>
      <c r="GV7" s="7">
        <v>18</v>
      </c>
      <c r="GW7" s="7">
        <v>11</v>
      </c>
      <c r="GX7" s="7">
        <v>17</v>
      </c>
      <c r="GY7" s="7">
        <v>422</v>
      </c>
      <c r="GZ7" s="7">
        <v>462</v>
      </c>
      <c r="HA7" s="7">
        <v>490</v>
      </c>
      <c r="HB7" s="7">
        <v>385</v>
      </c>
      <c r="HC7" s="7">
        <v>359</v>
      </c>
      <c r="HD7" s="7">
        <v>348</v>
      </c>
      <c r="HE7" s="7">
        <v>323</v>
      </c>
      <c r="HF7" s="7">
        <v>242</v>
      </c>
      <c r="HG7" s="7">
        <v>177</v>
      </c>
      <c r="HH7" s="7">
        <v>138</v>
      </c>
      <c r="HI7" s="7">
        <v>103</v>
      </c>
      <c r="HJ7" s="7">
        <v>90</v>
      </c>
      <c r="HK7" s="7">
        <v>66</v>
      </c>
      <c r="HL7" s="7">
        <v>58</v>
      </c>
      <c r="HM7" s="7">
        <v>47</v>
      </c>
      <c r="HN7" s="7">
        <v>14</v>
      </c>
      <c r="HO7" s="7">
        <v>16</v>
      </c>
      <c r="HP7" s="7">
        <v>7</v>
      </c>
      <c r="HQ7" s="7">
        <v>5217</v>
      </c>
      <c r="HR7" s="7">
        <v>27</v>
      </c>
      <c r="HS7" s="7">
        <v>7</v>
      </c>
      <c r="HT7" s="7">
        <v>0</v>
      </c>
      <c r="HU7" s="7">
        <v>0</v>
      </c>
      <c r="HV7" s="7">
        <v>0</v>
      </c>
      <c r="HW7" s="7">
        <v>0</v>
      </c>
      <c r="HX7" s="7">
        <v>1064</v>
      </c>
      <c r="HY7" s="7">
        <v>195</v>
      </c>
      <c r="HZ7" s="7">
        <v>513</v>
      </c>
      <c r="IA7" s="7">
        <v>722</v>
      </c>
      <c r="IB7" s="7">
        <v>1010</v>
      </c>
      <c r="IC7" s="7">
        <v>882</v>
      </c>
      <c r="ID7" s="7">
        <v>735</v>
      </c>
      <c r="IE7" s="7">
        <v>426</v>
      </c>
      <c r="IF7" s="7">
        <v>303</v>
      </c>
      <c r="IG7" s="7">
        <v>479</v>
      </c>
      <c r="IH7" s="7">
        <v>166</v>
      </c>
      <c r="II7" s="7">
        <v>1537</v>
      </c>
      <c r="IJ7" s="7">
        <v>1548</v>
      </c>
      <c r="IK7" s="7">
        <v>1021</v>
      </c>
      <c r="IL7" s="7">
        <v>511</v>
      </c>
      <c r="IM7" s="7">
        <v>270</v>
      </c>
      <c r="IN7" s="7">
        <v>101</v>
      </c>
      <c r="IO7" s="7">
        <v>48</v>
      </c>
      <c r="IP7" s="7">
        <v>51</v>
      </c>
      <c r="IQ7" s="7">
        <v>2278</v>
      </c>
      <c r="IR7" s="7">
        <v>1872</v>
      </c>
      <c r="IS7" s="7">
        <v>712</v>
      </c>
      <c r="IT7" s="7">
        <v>307</v>
      </c>
      <c r="IU7" s="7">
        <v>87</v>
      </c>
      <c r="IV7" s="7">
        <v>1689</v>
      </c>
      <c r="IW7" s="7">
        <v>2092</v>
      </c>
      <c r="IX7" s="7">
        <v>258</v>
      </c>
      <c r="IY7" s="7">
        <v>71</v>
      </c>
      <c r="IZ7" s="7">
        <v>3</v>
      </c>
      <c r="JA7" s="7">
        <v>1135</v>
      </c>
      <c r="JB7" s="7">
        <v>2388</v>
      </c>
      <c r="JC7" s="7">
        <v>796</v>
      </c>
      <c r="JD7" s="7">
        <v>169</v>
      </c>
      <c r="JE7" s="7">
        <v>2</v>
      </c>
      <c r="JF7" s="151">
        <v>4981.8678726977969</v>
      </c>
      <c r="JG7" s="151">
        <v>274.64244653307844</v>
      </c>
      <c r="JH7" s="7">
        <v>481</v>
      </c>
      <c r="JI7" s="7">
        <v>4546</v>
      </c>
      <c r="JJ7" s="7">
        <v>224</v>
      </c>
      <c r="JK7" s="7">
        <v>14</v>
      </c>
      <c r="JL7" s="7">
        <v>1286</v>
      </c>
      <c r="JM7" s="7">
        <v>657</v>
      </c>
      <c r="JN7" s="7">
        <v>489</v>
      </c>
      <c r="JO7" s="7">
        <v>2489</v>
      </c>
      <c r="JP7" s="7">
        <v>2911</v>
      </c>
      <c r="JQ7" s="7">
        <v>231</v>
      </c>
      <c r="JR7" s="7">
        <v>165</v>
      </c>
      <c r="JS7" s="7">
        <v>1156</v>
      </c>
      <c r="JT7" s="7">
        <v>100</v>
      </c>
      <c r="JU7" s="151">
        <v>504.66289959636845</v>
      </c>
      <c r="JV7" s="151">
        <v>2345.616293898614</v>
      </c>
      <c r="JW7" s="151">
        <v>2107.6981428760691</v>
      </c>
      <c r="JX7" s="151">
        <v>23.890536326745142</v>
      </c>
      <c r="JY7" s="7">
        <v>4812</v>
      </c>
      <c r="JZ7" s="7">
        <v>26500</v>
      </c>
      <c r="KA7" s="7">
        <v>90</v>
      </c>
      <c r="KB7" s="7">
        <v>14</v>
      </c>
      <c r="KC7" s="7">
        <v>0</v>
      </c>
      <c r="KD7" s="7">
        <v>0</v>
      </c>
      <c r="KE7" s="7">
        <v>0</v>
      </c>
      <c r="KF7" s="7">
        <v>0</v>
      </c>
      <c r="KG7" s="7">
        <v>3212</v>
      </c>
      <c r="KH7" s="7">
        <v>2486</v>
      </c>
      <c r="KI7" s="7">
        <v>23114</v>
      </c>
      <c r="KJ7" s="7">
        <v>1006</v>
      </c>
      <c r="KK7" s="7">
        <v>60</v>
      </c>
      <c r="KL7" s="7">
        <v>2556</v>
      </c>
      <c r="KM7" s="7">
        <v>11880</v>
      </c>
      <c r="KN7" s="7">
        <v>10675</v>
      </c>
      <c r="KO7" s="7">
        <v>121</v>
      </c>
      <c r="KP7" s="7">
        <v>25232</v>
      </c>
      <c r="KQ7" s="7">
        <v>1391</v>
      </c>
      <c r="KR7" s="7">
        <v>4465</v>
      </c>
      <c r="KS7" s="7">
        <v>4465</v>
      </c>
      <c r="KT7" s="7">
        <v>1003</v>
      </c>
      <c r="KU7" s="7">
        <v>267</v>
      </c>
      <c r="KV7" s="7">
        <v>702</v>
      </c>
      <c r="KW7" s="7">
        <v>0</v>
      </c>
      <c r="KX7" s="7">
        <v>927</v>
      </c>
      <c r="KY7" s="7">
        <v>226</v>
      </c>
      <c r="KZ7" s="7">
        <v>579</v>
      </c>
      <c r="LA7" s="7">
        <v>0</v>
      </c>
      <c r="LB7" s="7">
        <v>2269</v>
      </c>
      <c r="LC7" s="7">
        <v>2207</v>
      </c>
      <c r="LD7" s="7">
        <v>1847</v>
      </c>
      <c r="LE7" s="7">
        <v>3177</v>
      </c>
      <c r="LF7" s="7">
        <v>15965</v>
      </c>
      <c r="LG7" s="7">
        <v>53</v>
      </c>
      <c r="LH7" s="7">
        <v>3416</v>
      </c>
      <c r="LI7" s="7">
        <v>501</v>
      </c>
      <c r="LJ7" s="7">
        <v>1357</v>
      </c>
      <c r="LK7" s="7">
        <v>0</v>
      </c>
      <c r="LL7" s="7">
        <v>848</v>
      </c>
      <c r="LM7" s="7">
        <v>219</v>
      </c>
      <c r="LN7" s="7">
        <v>60</v>
      </c>
      <c r="LO7" s="7">
        <v>3513</v>
      </c>
      <c r="LP7" s="7">
        <v>382</v>
      </c>
      <c r="LQ7" s="7">
        <v>882</v>
      </c>
      <c r="LR7" s="7">
        <v>0</v>
      </c>
      <c r="LS7" s="7">
        <v>508</v>
      </c>
      <c r="LT7" s="7">
        <v>155</v>
      </c>
      <c r="LU7" s="232">
        <v>4.9030150753999999</v>
      </c>
      <c r="LV7" s="232">
        <v>5.5691549828999998</v>
      </c>
      <c r="LW7" s="232">
        <v>4.2440334874000003</v>
      </c>
      <c r="LX7" s="7">
        <v>5265</v>
      </c>
      <c r="LY7" s="7">
        <v>26666</v>
      </c>
    </row>
    <row r="8" spans="1:16384" x14ac:dyDescent="0.25">
      <c r="A8" t="s">
        <v>46</v>
      </c>
      <c r="B8" t="s">
        <v>47</v>
      </c>
      <c r="C8" s="7">
        <v>18778</v>
      </c>
      <c r="D8">
        <v>21275</v>
      </c>
      <c r="F8">
        <f t="shared" si="0"/>
        <v>-21275</v>
      </c>
      <c r="G8">
        <f t="shared" si="1"/>
        <v>-100</v>
      </c>
      <c r="H8">
        <v>10791</v>
      </c>
      <c r="I8">
        <v>10484</v>
      </c>
      <c r="J8">
        <v>3947</v>
      </c>
      <c r="K8">
        <v>17328</v>
      </c>
      <c r="L8" s="7">
        <v>1378</v>
      </c>
      <c r="M8" s="7">
        <v>1386</v>
      </c>
      <c r="N8" s="7">
        <v>1539</v>
      </c>
      <c r="O8" s="7">
        <v>1321</v>
      </c>
      <c r="P8" s="7">
        <v>1016</v>
      </c>
      <c r="Q8" s="7">
        <v>744</v>
      </c>
      <c r="R8" s="7">
        <v>662</v>
      </c>
      <c r="S8" s="7">
        <v>634</v>
      </c>
      <c r="T8" s="7">
        <v>471</v>
      </c>
      <c r="U8" s="7">
        <v>349</v>
      </c>
      <c r="V8" s="7">
        <v>305</v>
      </c>
      <c r="W8" s="7">
        <v>282</v>
      </c>
      <c r="X8" s="7">
        <v>198</v>
      </c>
      <c r="Y8" s="7">
        <v>505</v>
      </c>
      <c r="Z8" s="7">
        <v>1</v>
      </c>
      <c r="AA8" s="7">
        <v>1349</v>
      </c>
      <c r="AB8" s="7">
        <v>1411</v>
      </c>
      <c r="AC8" s="7">
        <v>1444</v>
      </c>
      <c r="AD8" s="7">
        <v>1292</v>
      </c>
      <c r="AE8" s="7">
        <v>985</v>
      </c>
      <c r="AF8" s="7">
        <v>790</v>
      </c>
      <c r="AG8" s="7">
        <v>653</v>
      </c>
      <c r="AH8" s="7">
        <v>589</v>
      </c>
      <c r="AI8" s="7">
        <v>417</v>
      </c>
      <c r="AJ8" s="7">
        <v>396</v>
      </c>
      <c r="AK8" s="7">
        <v>312</v>
      </c>
      <c r="AL8" s="7">
        <v>236</v>
      </c>
      <c r="AM8" s="7">
        <v>176</v>
      </c>
      <c r="AN8" s="7">
        <v>434</v>
      </c>
      <c r="AO8" s="7">
        <v>0</v>
      </c>
      <c r="AP8">
        <v>21059</v>
      </c>
      <c r="AQ8">
        <v>176</v>
      </c>
      <c r="AR8">
        <v>4</v>
      </c>
      <c r="AS8" t="s">
        <v>358</v>
      </c>
      <c r="AT8">
        <v>36</v>
      </c>
      <c r="AU8" s="7">
        <v>6976</v>
      </c>
      <c r="AV8" s="7">
        <v>3660</v>
      </c>
      <c r="AW8" s="7">
        <v>3316</v>
      </c>
      <c r="AX8" s="7">
        <v>2772</v>
      </c>
      <c r="AY8" s="7">
        <v>6976</v>
      </c>
      <c r="AZ8" s="7">
        <v>6834</v>
      </c>
      <c r="BA8" s="7">
        <v>142</v>
      </c>
      <c r="BB8" s="7">
        <v>154</v>
      </c>
      <c r="BC8" s="7">
        <v>146</v>
      </c>
      <c r="BD8" s="7">
        <v>411</v>
      </c>
      <c r="BE8" s="7">
        <v>443</v>
      </c>
      <c r="BF8" s="7">
        <v>492</v>
      </c>
      <c r="BG8" s="7">
        <v>490</v>
      </c>
      <c r="BH8" s="7">
        <v>444</v>
      </c>
      <c r="BI8" s="7">
        <v>391</v>
      </c>
      <c r="BJ8" s="7">
        <v>348</v>
      </c>
      <c r="BK8" s="7">
        <v>321</v>
      </c>
      <c r="BL8" s="7">
        <v>296</v>
      </c>
      <c r="BM8" s="7">
        <v>234</v>
      </c>
      <c r="BN8" s="7">
        <v>275</v>
      </c>
      <c r="BO8" s="7">
        <v>248</v>
      </c>
      <c r="BP8" s="7">
        <v>281</v>
      </c>
      <c r="BQ8" s="7">
        <v>233</v>
      </c>
      <c r="BR8" s="7">
        <v>205</v>
      </c>
      <c r="BS8" s="7">
        <v>151</v>
      </c>
      <c r="BT8" s="7">
        <v>156</v>
      </c>
      <c r="BU8" s="7">
        <v>149</v>
      </c>
      <c r="BV8" s="7">
        <v>129</v>
      </c>
      <c r="BW8" s="7">
        <v>148</v>
      </c>
      <c r="BX8" s="7">
        <v>136</v>
      </c>
      <c r="BY8" s="7">
        <v>94</v>
      </c>
      <c r="BZ8" s="7">
        <v>94</v>
      </c>
      <c r="CA8" s="7">
        <v>86</v>
      </c>
      <c r="CB8" s="7">
        <v>239</v>
      </c>
      <c r="CC8" s="7">
        <v>182</v>
      </c>
      <c r="CD8" s="7">
        <v>3486</v>
      </c>
      <c r="CE8" s="7">
        <v>3128</v>
      </c>
      <c r="CF8" s="7">
        <v>90</v>
      </c>
      <c r="CG8" s="7">
        <v>110</v>
      </c>
      <c r="CH8" s="7">
        <v>3824</v>
      </c>
      <c r="CI8" s="7">
        <v>470</v>
      </c>
      <c r="CJ8" s="7">
        <v>19439</v>
      </c>
      <c r="CK8" s="7">
        <v>1836</v>
      </c>
      <c r="CL8" s="7">
        <v>152</v>
      </c>
      <c r="CM8" s="7">
        <v>422</v>
      </c>
      <c r="CN8" s="7">
        <v>607</v>
      </c>
      <c r="CO8" s="7">
        <v>851</v>
      </c>
      <c r="CP8" s="7">
        <v>733</v>
      </c>
      <c r="CQ8" s="7">
        <v>1529</v>
      </c>
      <c r="CR8" s="7">
        <v>3636</v>
      </c>
      <c r="CS8" s="7">
        <v>11220</v>
      </c>
      <c r="CT8" s="7">
        <v>953</v>
      </c>
      <c r="CU8" s="7">
        <v>490</v>
      </c>
      <c r="CV8" s="7">
        <v>168</v>
      </c>
      <c r="CW8" s="7">
        <v>409</v>
      </c>
      <c r="CX8" s="7">
        <v>4</v>
      </c>
      <c r="CY8" s="7">
        <v>14373</v>
      </c>
      <c r="CZ8" s="7">
        <v>6163</v>
      </c>
      <c r="DA8" s="7">
        <v>28</v>
      </c>
      <c r="DB8" s="7">
        <v>152</v>
      </c>
      <c r="DC8" s="7">
        <v>0</v>
      </c>
      <c r="DD8" s="7">
        <v>7794</v>
      </c>
      <c r="DE8" s="7">
        <v>3506</v>
      </c>
      <c r="DF8" s="7">
        <v>6028</v>
      </c>
      <c r="DG8" s="7">
        <v>3947</v>
      </c>
      <c r="DH8" s="7">
        <v>0</v>
      </c>
      <c r="DI8" s="7">
        <v>0</v>
      </c>
      <c r="DJ8" s="7">
        <v>0</v>
      </c>
      <c r="DK8" s="7">
        <v>0</v>
      </c>
      <c r="DL8" s="7">
        <v>103</v>
      </c>
      <c r="DM8" s="7">
        <v>11</v>
      </c>
      <c r="DN8" s="7">
        <v>8</v>
      </c>
      <c r="DO8" s="7">
        <v>1</v>
      </c>
      <c r="DP8" s="7">
        <v>0</v>
      </c>
      <c r="DQ8" s="7">
        <v>0</v>
      </c>
      <c r="DR8" s="7">
        <v>0</v>
      </c>
      <c r="DS8" s="7">
        <v>0</v>
      </c>
      <c r="DT8" s="7">
        <v>93</v>
      </c>
      <c r="DU8" s="7">
        <v>68</v>
      </c>
      <c r="DV8" s="7">
        <v>47</v>
      </c>
      <c r="DW8" s="7">
        <v>32</v>
      </c>
      <c r="DX8" s="7">
        <v>34</v>
      </c>
      <c r="DY8" s="7">
        <v>16</v>
      </c>
      <c r="DZ8" s="7">
        <v>18</v>
      </c>
      <c r="EA8" s="7">
        <v>15</v>
      </c>
      <c r="EB8" s="7">
        <v>4</v>
      </c>
      <c r="EC8" s="7">
        <v>6</v>
      </c>
      <c r="ED8" s="7">
        <v>7</v>
      </c>
      <c r="EE8" s="7">
        <v>9</v>
      </c>
      <c r="EF8" s="7">
        <v>19</v>
      </c>
      <c r="EG8" s="7">
        <v>24</v>
      </c>
      <c r="EH8" s="7">
        <v>119</v>
      </c>
      <c r="EI8" s="7">
        <v>55</v>
      </c>
      <c r="EJ8" s="7">
        <v>39</v>
      </c>
      <c r="EK8" s="7">
        <v>18</v>
      </c>
      <c r="EL8" s="7">
        <v>4</v>
      </c>
      <c r="EM8" s="7">
        <v>7</v>
      </c>
      <c r="EN8" s="7">
        <v>20</v>
      </c>
      <c r="EO8" s="7">
        <v>5700</v>
      </c>
      <c r="EP8" s="7">
        <v>5599</v>
      </c>
      <c r="EQ8" s="7">
        <v>101</v>
      </c>
      <c r="ER8" s="7">
        <v>1617</v>
      </c>
      <c r="ES8" s="7">
        <v>298</v>
      </c>
      <c r="ET8" s="7">
        <v>294</v>
      </c>
      <c r="EU8" s="7">
        <v>4</v>
      </c>
      <c r="EV8" s="7">
        <v>6813</v>
      </c>
      <c r="EW8" s="134">
        <v>82.968601332000006</v>
      </c>
      <c r="EX8" s="134">
        <v>6.4700285441999998</v>
      </c>
      <c r="EY8" s="134">
        <v>3.6156041865000002</v>
      </c>
      <c r="EZ8" s="134">
        <v>6.0894386299000001</v>
      </c>
      <c r="FA8" s="134">
        <v>0.85632730729999995</v>
      </c>
      <c r="FB8" s="7">
        <v>1058</v>
      </c>
      <c r="FC8" s="7">
        <v>3083</v>
      </c>
      <c r="FD8" s="7">
        <v>209</v>
      </c>
      <c r="FE8" s="7">
        <v>915</v>
      </c>
      <c r="FF8" s="7">
        <v>0</v>
      </c>
      <c r="FG8" s="7">
        <v>626</v>
      </c>
      <c r="FH8" s="7">
        <v>99</v>
      </c>
      <c r="FI8" s="134">
        <v>76.593720266000005</v>
      </c>
      <c r="FJ8" s="134">
        <v>13.701236916999999</v>
      </c>
      <c r="FK8" s="134">
        <v>5.8039961940999998</v>
      </c>
      <c r="FL8" s="134">
        <v>3.9010466223</v>
      </c>
      <c r="FM8" s="151">
        <v>6168</v>
      </c>
      <c r="FN8" s="151">
        <v>4537</v>
      </c>
      <c r="FO8" s="7">
        <v>170</v>
      </c>
      <c r="FP8" s="7">
        <v>36</v>
      </c>
      <c r="FQ8" s="7">
        <v>16</v>
      </c>
      <c r="FR8" s="7">
        <v>2</v>
      </c>
      <c r="FS8" s="7">
        <v>5905</v>
      </c>
      <c r="FT8" s="7">
        <v>25</v>
      </c>
      <c r="FU8" s="7">
        <v>17</v>
      </c>
      <c r="FV8" s="7">
        <v>86</v>
      </c>
      <c r="FW8" s="7">
        <v>6736</v>
      </c>
      <c r="FX8" s="7">
        <v>3656</v>
      </c>
      <c r="FY8" s="7">
        <v>151</v>
      </c>
      <c r="FZ8" s="7">
        <v>37</v>
      </c>
      <c r="GA8" s="7">
        <v>24</v>
      </c>
      <c r="GB8" s="7">
        <v>3</v>
      </c>
      <c r="GC8" s="7">
        <v>6482</v>
      </c>
      <c r="GD8" s="7">
        <v>24</v>
      </c>
      <c r="GE8" s="7">
        <v>17</v>
      </c>
      <c r="GF8" s="7">
        <v>92</v>
      </c>
      <c r="GG8" s="7">
        <v>630</v>
      </c>
      <c r="GH8" s="7">
        <v>837</v>
      </c>
      <c r="GI8" s="7">
        <v>940</v>
      </c>
      <c r="GJ8" s="7">
        <v>698</v>
      </c>
      <c r="GK8" s="7">
        <v>474</v>
      </c>
      <c r="GL8" s="7">
        <v>384</v>
      </c>
      <c r="GM8" s="7">
        <v>381</v>
      </c>
      <c r="GN8" s="7">
        <v>410</v>
      </c>
      <c r="GO8" s="7">
        <v>307</v>
      </c>
      <c r="GP8" s="7">
        <v>218</v>
      </c>
      <c r="GQ8" s="7">
        <v>199</v>
      </c>
      <c r="GR8" s="7">
        <v>176</v>
      </c>
      <c r="GS8" s="7">
        <v>138</v>
      </c>
      <c r="GT8" s="7">
        <v>108</v>
      </c>
      <c r="GU8" s="7">
        <v>102</v>
      </c>
      <c r="GV8" s="7">
        <v>74</v>
      </c>
      <c r="GW8" s="7">
        <v>50</v>
      </c>
      <c r="GX8" s="7">
        <v>42</v>
      </c>
      <c r="GY8" s="7">
        <v>639</v>
      </c>
      <c r="GZ8" s="7">
        <v>880</v>
      </c>
      <c r="HA8" s="7">
        <v>942</v>
      </c>
      <c r="HB8" s="7">
        <v>692</v>
      </c>
      <c r="HC8" s="7">
        <v>572</v>
      </c>
      <c r="HD8" s="7">
        <v>516</v>
      </c>
      <c r="HE8" s="7">
        <v>479</v>
      </c>
      <c r="HF8" s="7">
        <v>441</v>
      </c>
      <c r="HG8" s="7">
        <v>340</v>
      </c>
      <c r="HH8" s="7">
        <v>321</v>
      </c>
      <c r="HI8" s="7">
        <v>252</v>
      </c>
      <c r="HJ8" s="7">
        <v>182</v>
      </c>
      <c r="HK8" s="7">
        <v>146</v>
      </c>
      <c r="HL8" s="7">
        <v>131</v>
      </c>
      <c r="HM8" s="7">
        <v>90</v>
      </c>
      <c r="HN8" s="7">
        <v>45</v>
      </c>
      <c r="HO8" s="7">
        <v>37</v>
      </c>
      <c r="HP8" s="7">
        <v>31</v>
      </c>
      <c r="HQ8" s="7">
        <v>4273</v>
      </c>
      <c r="HR8" s="7">
        <v>2</v>
      </c>
      <c r="HS8" s="7">
        <v>1</v>
      </c>
      <c r="HT8" s="7">
        <v>0</v>
      </c>
      <c r="HU8" s="7">
        <v>0</v>
      </c>
      <c r="HV8" s="7">
        <v>0</v>
      </c>
      <c r="HW8" s="7">
        <v>0</v>
      </c>
      <c r="HX8" s="7">
        <v>18</v>
      </c>
      <c r="HY8" s="7">
        <v>152</v>
      </c>
      <c r="HZ8" s="7">
        <v>422</v>
      </c>
      <c r="IA8" s="7">
        <v>607</v>
      </c>
      <c r="IB8" s="7">
        <v>851</v>
      </c>
      <c r="IC8" s="7">
        <v>733</v>
      </c>
      <c r="ID8" s="7">
        <v>595</v>
      </c>
      <c r="IE8" s="7">
        <v>364</v>
      </c>
      <c r="IF8" s="7">
        <v>231</v>
      </c>
      <c r="IG8" s="7">
        <v>339</v>
      </c>
      <c r="IH8" s="7">
        <v>464</v>
      </c>
      <c r="II8" s="7">
        <v>1327</v>
      </c>
      <c r="IJ8" s="7">
        <v>1228</v>
      </c>
      <c r="IK8" s="7">
        <v>918</v>
      </c>
      <c r="IL8" s="7">
        <v>225</v>
      </c>
      <c r="IM8" s="7">
        <v>73</v>
      </c>
      <c r="IN8" s="7">
        <v>13</v>
      </c>
      <c r="IO8" s="7">
        <v>5</v>
      </c>
      <c r="IP8" s="7">
        <v>5</v>
      </c>
      <c r="IQ8" s="7">
        <v>2472</v>
      </c>
      <c r="IR8" s="7">
        <v>1372</v>
      </c>
      <c r="IS8" s="7">
        <v>318</v>
      </c>
      <c r="IT8" s="7">
        <v>80</v>
      </c>
      <c r="IU8" s="7">
        <v>28</v>
      </c>
      <c r="IV8" s="7">
        <v>1108</v>
      </c>
      <c r="IW8" s="7">
        <v>1798</v>
      </c>
      <c r="IX8" s="7">
        <v>63</v>
      </c>
      <c r="IY8" s="7">
        <v>57</v>
      </c>
      <c r="IZ8" s="7">
        <v>0</v>
      </c>
      <c r="JA8" s="7">
        <v>1246</v>
      </c>
      <c r="JB8" s="7">
        <v>714</v>
      </c>
      <c r="JC8" s="7">
        <v>2181</v>
      </c>
      <c r="JD8" s="7">
        <v>679</v>
      </c>
      <c r="JE8" s="7">
        <v>322</v>
      </c>
      <c r="JF8" s="151">
        <v>3974.2961473284963</v>
      </c>
      <c r="JG8" s="151">
        <v>308.40102143710033</v>
      </c>
      <c r="JH8" s="7">
        <v>660</v>
      </c>
      <c r="JI8" s="7">
        <v>3560</v>
      </c>
      <c r="JJ8" s="7">
        <v>58</v>
      </c>
      <c r="JK8" s="7">
        <v>16</v>
      </c>
      <c r="JL8" s="7">
        <v>1208</v>
      </c>
      <c r="JM8" s="7">
        <v>336</v>
      </c>
      <c r="JN8" s="7">
        <v>128</v>
      </c>
      <c r="JO8" s="7">
        <v>1915</v>
      </c>
      <c r="JP8" s="7">
        <v>2203</v>
      </c>
      <c r="JQ8" s="7">
        <v>51</v>
      </c>
      <c r="JR8" s="7">
        <v>127</v>
      </c>
      <c r="JS8" s="7">
        <v>67</v>
      </c>
      <c r="JT8" s="7">
        <v>2</v>
      </c>
      <c r="JU8" s="151">
        <v>21.797977954978293</v>
      </c>
      <c r="JV8" s="151">
        <v>2876.9294237987092</v>
      </c>
      <c r="JW8" s="151">
        <v>1018.8536362660225</v>
      </c>
      <c r="JX8" s="151">
        <v>56.715109308786118</v>
      </c>
      <c r="JY8" s="7">
        <v>3703</v>
      </c>
      <c r="JZ8" s="7">
        <v>21172</v>
      </c>
      <c r="KA8" s="7">
        <v>11</v>
      </c>
      <c r="KB8" s="7">
        <v>13</v>
      </c>
      <c r="KC8" s="7">
        <v>0</v>
      </c>
      <c r="KD8" s="7">
        <v>0</v>
      </c>
      <c r="KE8" s="7">
        <v>0</v>
      </c>
      <c r="KF8" s="7">
        <v>0</v>
      </c>
      <c r="KG8" s="7">
        <v>79</v>
      </c>
      <c r="KH8" s="7">
        <v>3135</v>
      </c>
      <c r="KI8" s="7">
        <v>17824</v>
      </c>
      <c r="KJ8" s="7">
        <v>237</v>
      </c>
      <c r="KK8" s="7">
        <v>79</v>
      </c>
      <c r="KL8" s="7">
        <v>108</v>
      </c>
      <c r="KM8" s="7">
        <v>14254</v>
      </c>
      <c r="KN8" s="7">
        <v>5048</v>
      </c>
      <c r="KO8" s="7">
        <v>281</v>
      </c>
      <c r="KP8" s="7">
        <v>19691</v>
      </c>
      <c r="KQ8" s="7">
        <v>1528</v>
      </c>
      <c r="KR8" s="7">
        <v>3580</v>
      </c>
      <c r="KS8" s="7">
        <v>3580</v>
      </c>
      <c r="KT8" s="7">
        <v>747</v>
      </c>
      <c r="KU8" s="7">
        <v>254</v>
      </c>
      <c r="KV8" s="7">
        <v>590</v>
      </c>
      <c r="KW8" s="7">
        <v>0</v>
      </c>
      <c r="KX8" s="7">
        <v>734</v>
      </c>
      <c r="KY8" s="7">
        <v>235</v>
      </c>
      <c r="KZ8" s="7">
        <v>520</v>
      </c>
      <c r="LA8" s="7">
        <v>0</v>
      </c>
      <c r="LB8" s="7">
        <v>1910</v>
      </c>
      <c r="LC8" s="7">
        <v>1843</v>
      </c>
      <c r="LD8" s="7">
        <v>1281</v>
      </c>
      <c r="LE8" s="7">
        <v>2119</v>
      </c>
      <c r="LF8" s="7">
        <v>12767</v>
      </c>
      <c r="LG8" s="7">
        <v>45</v>
      </c>
      <c r="LH8" s="7">
        <v>3072</v>
      </c>
      <c r="LI8" s="7">
        <v>369</v>
      </c>
      <c r="LJ8" s="7">
        <v>1004</v>
      </c>
      <c r="LK8" s="7">
        <v>0</v>
      </c>
      <c r="LL8" s="7">
        <v>798</v>
      </c>
      <c r="LM8" s="7">
        <v>107</v>
      </c>
      <c r="LN8" s="7">
        <v>47</v>
      </c>
      <c r="LO8" s="7">
        <v>2818</v>
      </c>
      <c r="LP8" s="7">
        <v>337</v>
      </c>
      <c r="LQ8" s="7">
        <v>708</v>
      </c>
      <c r="LR8" s="7">
        <v>0</v>
      </c>
      <c r="LS8" s="7">
        <v>519</v>
      </c>
      <c r="LT8" s="7">
        <v>59</v>
      </c>
      <c r="LU8" s="232">
        <v>4.8185112248999999</v>
      </c>
      <c r="LV8" s="232">
        <v>5.3597702933000004</v>
      </c>
      <c r="LW8" s="232">
        <v>4.2607165706999997</v>
      </c>
      <c r="LX8" s="7">
        <v>4294</v>
      </c>
      <c r="LY8" s="7">
        <v>21275</v>
      </c>
    </row>
    <row r="9" spans="1:16384" x14ac:dyDescent="0.25">
      <c r="A9" t="s">
        <v>48</v>
      </c>
      <c r="B9" t="s">
        <v>49</v>
      </c>
      <c r="C9" s="7">
        <v>26094</v>
      </c>
      <c r="D9">
        <v>29547</v>
      </c>
      <c r="F9">
        <f t="shared" si="0"/>
        <v>-29547</v>
      </c>
      <c r="G9">
        <f t="shared" si="1"/>
        <v>-100</v>
      </c>
      <c r="H9">
        <v>14447</v>
      </c>
      <c r="I9">
        <v>15100</v>
      </c>
      <c r="J9">
        <v>3045</v>
      </c>
      <c r="K9">
        <v>26502</v>
      </c>
      <c r="L9" s="7">
        <v>1776</v>
      </c>
      <c r="M9" s="7">
        <v>1770</v>
      </c>
      <c r="N9" s="7">
        <v>1847</v>
      </c>
      <c r="O9" s="7">
        <v>1594</v>
      </c>
      <c r="P9" s="7">
        <v>1153</v>
      </c>
      <c r="Q9" s="7">
        <v>979</v>
      </c>
      <c r="R9" s="7">
        <v>908</v>
      </c>
      <c r="S9" s="7">
        <v>835</v>
      </c>
      <c r="T9" s="7">
        <v>655</v>
      </c>
      <c r="U9" s="7">
        <v>630</v>
      </c>
      <c r="V9" s="7">
        <v>539</v>
      </c>
      <c r="W9" s="7">
        <v>489</v>
      </c>
      <c r="X9" s="7">
        <v>378</v>
      </c>
      <c r="Y9" s="7">
        <v>876</v>
      </c>
      <c r="Z9" s="7">
        <v>18</v>
      </c>
      <c r="AA9" s="7">
        <v>1751</v>
      </c>
      <c r="AB9" s="7">
        <v>1738</v>
      </c>
      <c r="AC9" s="7">
        <v>1869</v>
      </c>
      <c r="AD9" s="7">
        <v>1725</v>
      </c>
      <c r="AE9" s="7">
        <v>1375</v>
      </c>
      <c r="AF9" s="7">
        <v>1173</v>
      </c>
      <c r="AG9" s="7">
        <v>1020</v>
      </c>
      <c r="AH9" s="7">
        <v>914</v>
      </c>
      <c r="AI9" s="7">
        <v>720</v>
      </c>
      <c r="AJ9" s="7">
        <v>701</v>
      </c>
      <c r="AK9" s="7">
        <v>540</v>
      </c>
      <c r="AL9" s="7">
        <v>405</v>
      </c>
      <c r="AM9" s="7">
        <v>353</v>
      </c>
      <c r="AN9" s="7">
        <v>796</v>
      </c>
      <c r="AO9" s="7">
        <v>20</v>
      </c>
      <c r="AP9">
        <v>28714</v>
      </c>
      <c r="AQ9">
        <v>176</v>
      </c>
      <c r="AR9">
        <v>74</v>
      </c>
      <c r="AS9">
        <v>455</v>
      </c>
      <c r="AT9">
        <v>128</v>
      </c>
      <c r="AU9" s="7">
        <v>911</v>
      </c>
      <c r="AV9" s="7">
        <v>503</v>
      </c>
      <c r="AW9" s="7">
        <v>408</v>
      </c>
      <c r="AX9" s="7">
        <v>760</v>
      </c>
      <c r="AY9" s="7">
        <v>911</v>
      </c>
      <c r="AZ9" s="7">
        <v>870</v>
      </c>
      <c r="BA9" s="7">
        <v>41</v>
      </c>
      <c r="BB9" s="7">
        <v>7</v>
      </c>
      <c r="BC9" s="7">
        <v>11</v>
      </c>
      <c r="BD9" s="7">
        <v>34</v>
      </c>
      <c r="BE9" s="7">
        <v>25</v>
      </c>
      <c r="BF9" s="7">
        <v>33</v>
      </c>
      <c r="BG9" s="7">
        <v>27</v>
      </c>
      <c r="BH9" s="7">
        <v>35</v>
      </c>
      <c r="BI9" s="7">
        <v>26</v>
      </c>
      <c r="BJ9" s="7">
        <v>25</v>
      </c>
      <c r="BK9" s="7">
        <v>24</v>
      </c>
      <c r="BL9" s="7">
        <v>18</v>
      </c>
      <c r="BM9" s="7">
        <v>33</v>
      </c>
      <c r="BN9" s="7">
        <v>18</v>
      </c>
      <c r="BO9" s="7">
        <v>18</v>
      </c>
      <c r="BP9" s="7">
        <v>21</v>
      </c>
      <c r="BQ9" s="7">
        <v>20</v>
      </c>
      <c r="BR9" s="7">
        <v>21</v>
      </c>
      <c r="BS9" s="7">
        <v>26</v>
      </c>
      <c r="BT9" s="7">
        <v>26</v>
      </c>
      <c r="BU9" s="7">
        <v>21</v>
      </c>
      <c r="BV9" s="7">
        <v>36</v>
      </c>
      <c r="BW9" s="7">
        <v>22</v>
      </c>
      <c r="BX9" s="7">
        <v>39</v>
      </c>
      <c r="BY9" s="7">
        <v>22</v>
      </c>
      <c r="BZ9" s="7">
        <v>38</v>
      </c>
      <c r="CA9" s="7">
        <v>25</v>
      </c>
      <c r="CB9" s="7">
        <v>152</v>
      </c>
      <c r="CC9" s="7">
        <v>108</v>
      </c>
      <c r="CD9" s="7">
        <v>474</v>
      </c>
      <c r="CE9" s="7">
        <v>378</v>
      </c>
      <c r="CF9" s="7">
        <v>2</v>
      </c>
      <c r="CG9" s="7">
        <v>1</v>
      </c>
      <c r="CH9" s="7">
        <v>5234</v>
      </c>
      <c r="CI9" s="7">
        <v>1121</v>
      </c>
      <c r="CJ9" s="7">
        <v>25312</v>
      </c>
      <c r="CK9" s="7">
        <v>4208</v>
      </c>
      <c r="CL9" s="7">
        <v>359</v>
      </c>
      <c r="CM9" s="7">
        <v>658</v>
      </c>
      <c r="CN9" s="7">
        <v>1000</v>
      </c>
      <c r="CO9" s="7">
        <v>1323</v>
      </c>
      <c r="CP9" s="7">
        <v>1141</v>
      </c>
      <c r="CQ9" s="7">
        <v>1874</v>
      </c>
      <c r="CR9" s="7">
        <v>4854</v>
      </c>
      <c r="CS9" s="7">
        <v>13935</v>
      </c>
      <c r="CT9" s="7">
        <v>2485</v>
      </c>
      <c r="CU9" s="7">
        <v>801</v>
      </c>
      <c r="CV9" s="7">
        <v>316</v>
      </c>
      <c r="CW9" s="7">
        <v>614</v>
      </c>
      <c r="CX9" s="7">
        <v>53</v>
      </c>
      <c r="CY9" s="7">
        <v>17445</v>
      </c>
      <c r="CZ9" s="7">
        <v>10995</v>
      </c>
      <c r="DA9" s="7">
        <v>199</v>
      </c>
      <c r="DB9" s="7">
        <v>359</v>
      </c>
      <c r="DC9" s="7">
        <v>10</v>
      </c>
      <c r="DD9" s="7">
        <v>5645</v>
      </c>
      <c r="DE9" s="7">
        <v>8643</v>
      </c>
      <c r="DF9" s="7">
        <v>12214</v>
      </c>
      <c r="DG9" s="7">
        <v>3045</v>
      </c>
      <c r="DH9" s="7">
        <v>0</v>
      </c>
      <c r="DI9" s="7">
        <v>0</v>
      </c>
      <c r="DJ9" s="7">
        <v>0</v>
      </c>
      <c r="DK9" s="7">
        <v>0</v>
      </c>
      <c r="DL9" s="7">
        <v>75</v>
      </c>
      <c r="DM9" s="7">
        <v>25</v>
      </c>
      <c r="DN9" s="7">
        <v>12</v>
      </c>
      <c r="DO9" s="7">
        <v>1</v>
      </c>
      <c r="DP9" s="7">
        <v>0</v>
      </c>
      <c r="DQ9" s="7">
        <v>0</v>
      </c>
      <c r="DR9" s="7">
        <v>0</v>
      </c>
      <c r="DS9" s="7">
        <v>0</v>
      </c>
      <c r="DT9" s="7">
        <v>196</v>
      </c>
      <c r="DU9" s="7">
        <v>161</v>
      </c>
      <c r="DV9" s="7">
        <v>115</v>
      </c>
      <c r="DW9" s="7">
        <v>95</v>
      </c>
      <c r="DX9" s="7">
        <v>67</v>
      </c>
      <c r="DY9" s="7">
        <v>50</v>
      </c>
      <c r="DZ9" s="7">
        <v>59</v>
      </c>
      <c r="EA9" s="7">
        <v>48</v>
      </c>
      <c r="EB9" s="7">
        <v>14</v>
      </c>
      <c r="EC9" s="7">
        <v>20</v>
      </c>
      <c r="ED9" s="7">
        <v>17</v>
      </c>
      <c r="EE9" s="7">
        <v>11</v>
      </c>
      <c r="EF9" s="7">
        <v>65</v>
      </c>
      <c r="EG9" s="7">
        <v>56</v>
      </c>
      <c r="EH9" s="7">
        <v>245</v>
      </c>
      <c r="EI9" s="7">
        <v>147</v>
      </c>
      <c r="EJ9" s="7">
        <v>83</v>
      </c>
      <c r="EK9" s="7">
        <v>68</v>
      </c>
      <c r="EL9" s="7">
        <v>23</v>
      </c>
      <c r="EM9" s="7">
        <v>21</v>
      </c>
      <c r="EN9" s="7">
        <v>64</v>
      </c>
      <c r="EO9" s="7">
        <v>7889</v>
      </c>
      <c r="EP9" s="7">
        <v>7812</v>
      </c>
      <c r="EQ9" s="7">
        <v>77</v>
      </c>
      <c r="ER9" s="7">
        <v>2169</v>
      </c>
      <c r="ES9" s="7">
        <v>875</v>
      </c>
      <c r="ET9" s="7">
        <v>862</v>
      </c>
      <c r="EU9" s="7">
        <v>13</v>
      </c>
      <c r="EV9" s="7">
        <v>9918</v>
      </c>
      <c r="EW9" s="134">
        <v>73.337803105999996</v>
      </c>
      <c r="EX9" s="134">
        <v>5.1514135658000004</v>
      </c>
      <c r="EY9" s="134">
        <v>6.3694267515999998</v>
      </c>
      <c r="EZ9" s="134">
        <v>14.750251425</v>
      </c>
      <c r="FA9" s="134">
        <v>0.39110515140000002</v>
      </c>
      <c r="FB9" s="7">
        <v>1289</v>
      </c>
      <c r="FC9" s="7">
        <v>4741</v>
      </c>
      <c r="FD9" s="7">
        <v>237</v>
      </c>
      <c r="FE9" s="7">
        <v>1554</v>
      </c>
      <c r="FF9" s="7">
        <v>2</v>
      </c>
      <c r="FG9" s="7">
        <v>580</v>
      </c>
      <c r="FH9" s="7">
        <v>325</v>
      </c>
      <c r="FI9" s="134">
        <v>74.343502067000003</v>
      </c>
      <c r="FJ9" s="134">
        <v>12.068387529000001</v>
      </c>
      <c r="FK9" s="134">
        <v>9.5429656944999994</v>
      </c>
      <c r="FL9" s="134">
        <v>4.0451447088999997</v>
      </c>
      <c r="FM9" s="151">
        <v>8687</v>
      </c>
      <c r="FN9" s="151">
        <v>5691</v>
      </c>
      <c r="FO9" s="7">
        <v>405</v>
      </c>
      <c r="FP9" s="7">
        <v>146</v>
      </c>
      <c r="FQ9" s="7">
        <v>42</v>
      </c>
      <c r="FR9" s="7">
        <v>6</v>
      </c>
      <c r="FS9" s="7">
        <v>7822</v>
      </c>
      <c r="FT9" s="7">
        <v>8</v>
      </c>
      <c r="FU9" s="7">
        <v>263</v>
      </c>
      <c r="FV9" s="7">
        <v>69</v>
      </c>
      <c r="FW9" s="7">
        <v>9969</v>
      </c>
      <c r="FX9" s="7">
        <v>5038</v>
      </c>
      <c r="FY9" s="7">
        <v>427</v>
      </c>
      <c r="FZ9" s="7">
        <v>140</v>
      </c>
      <c r="GA9" s="7">
        <v>45</v>
      </c>
      <c r="GB9" s="7">
        <v>2</v>
      </c>
      <c r="GC9" s="7">
        <v>9089</v>
      </c>
      <c r="GD9" s="7">
        <v>12</v>
      </c>
      <c r="GE9" s="7">
        <v>261</v>
      </c>
      <c r="GF9" s="7">
        <v>93</v>
      </c>
      <c r="GG9" s="7">
        <v>976</v>
      </c>
      <c r="GH9" s="7">
        <v>1132</v>
      </c>
      <c r="GI9" s="7">
        <v>1241</v>
      </c>
      <c r="GJ9" s="7">
        <v>954</v>
      </c>
      <c r="GK9" s="7">
        <v>521</v>
      </c>
      <c r="GL9" s="7">
        <v>519</v>
      </c>
      <c r="GM9" s="7">
        <v>540</v>
      </c>
      <c r="GN9" s="7">
        <v>487</v>
      </c>
      <c r="GO9" s="7">
        <v>419</v>
      </c>
      <c r="GP9" s="7">
        <v>384</v>
      </c>
      <c r="GQ9" s="7">
        <v>330</v>
      </c>
      <c r="GR9" s="7">
        <v>281</v>
      </c>
      <c r="GS9" s="7">
        <v>228</v>
      </c>
      <c r="GT9" s="7">
        <v>213</v>
      </c>
      <c r="GU9" s="7">
        <v>206</v>
      </c>
      <c r="GV9" s="7">
        <v>115</v>
      </c>
      <c r="GW9" s="7">
        <v>66</v>
      </c>
      <c r="GX9" s="7">
        <v>71</v>
      </c>
      <c r="GY9" s="7">
        <v>947</v>
      </c>
      <c r="GZ9" s="7">
        <v>1116</v>
      </c>
      <c r="HA9" s="7">
        <v>1275</v>
      </c>
      <c r="HB9" s="7">
        <v>1086</v>
      </c>
      <c r="HC9" s="7">
        <v>781</v>
      </c>
      <c r="HD9" s="7">
        <v>752</v>
      </c>
      <c r="HE9" s="7">
        <v>727</v>
      </c>
      <c r="HF9" s="7">
        <v>667</v>
      </c>
      <c r="HG9" s="7">
        <v>531</v>
      </c>
      <c r="HH9" s="7">
        <v>523</v>
      </c>
      <c r="HI9" s="7">
        <v>398</v>
      </c>
      <c r="HJ9" s="7">
        <v>294</v>
      </c>
      <c r="HK9" s="7">
        <v>257</v>
      </c>
      <c r="HL9" s="7">
        <v>234</v>
      </c>
      <c r="HM9" s="7">
        <v>168</v>
      </c>
      <c r="HN9" s="7">
        <v>113</v>
      </c>
      <c r="HO9" s="7">
        <v>60</v>
      </c>
      <c r="HP9" s="7">
        <v>36</v>
      </c>
      <c r="HQ9" s="7">
        <v>6311</v>
      </c>
      <c r="HR9" s="7">
        <v>1</v>
      </c>
      <c r="HS9" s="7">
        <v>1</v>
      </c>
      <c r="HT9" s="7">
        <v>0</v>
      </c>
      <c r="HU9" s="7">
        <v>0</v>
      </c>
      <c r="HV9" s="7">
        <v>0</v>
      </c>
      <c r="HW9" s="7">
        <v>1</v>
      </c>
      <c r="HX9" s="7">
        <v>50</v>
      </c>
      <c r="HY9" s="7">
        <v>358</v>
      </c>
      <c r="HZ9" s="7">
        <v>658</v>
      </c>
      <c r="IA9" s="7">
        <v>1000</v>
      </c>
      <c r="IB9" s="7">
        <v>1323</v>
      </c>
      <c r="IC9" s="7">
        <v>1141</v>
      </c>
      <c r="ID9" s="7">
        <v>805</v>
      </c>
      <c r="IE9" s="7">
        <v>412</v>
      </c>
      <c r="IF9" s="7">
        <v>283</v>
      </c>
      <c r="IG9" s="7">
        <v>374</v>
      </c>
      <c r="IH9" s="7">
        <v>521</v>
      </c>
      <c r="II9" s="7">
        <v>1833</v>
      </c>
      <c r="IJ9" s="7">
        <v>1885</v>
      </c>
      <c r="IK9" s="7">
        <v>1223</v>
      </c>
      <c r="IL9" s="7">
        <v>505</v>
      </c>
      <c r="IM9" s="7">
        <v>209</v>
      </c>
      <c r="IN9" s="7">
        <v>67</v>
      </c>
      <c r="IO9" s="7">
        <v>30</v>
      </c>
      <c r="IP9" s="7">
        <v>41</v>
      </c>
      <c r="IQ9" s="7">
        <v>2916</v>
      </c>
      <c r="IR9" s="7">
        <v>2315</v>
      </c>
      <c r="IS9" s="7">
        <v>837</v>
      </c>
      <c r="IT9" s="7">
        <v>197</v>
      </c>
      <c r="IU9" s="7">
        <v>58</v>
      </c>
      <c r="IV9" s="7">
        <v>1762</v>
      </c>
      <c r="IW9" s="7">
        <v>3622</v>
      </c>
      <c r="IX9" s="7">
        <v>94</v>
      </c>
      <c r="IY9" s="7">
        <v>140</v>
      </c>
      <c r="IZ9" s="7">
        <v>5</v>
      </c>
      <c r="JA9" s="7">
        <v>704</v>
      </c>
      <c r="JB9" s="7">
        <v>1881</v>
      </c>
      <c r="JC9" s="7">
        <v>2621</v>
      </c>
      <c r="JD9" s="7">
        <v>461</v>
      </c>
      <c r="JE9" s="7">
        <v>681</v>
      </c>
      <c r="JF9" s="151">
        <v>6063.7295456497632</v>
      </c>
      <c r="JG9" s="151">
        <v>272.11112811805663</v>
      </c>
      <c r="JH9" s="7">
        <v>1285</v>
      </c>
      <c r="JI9" s="7">
        <v>4705</v>
      </c>
      <c r="JJ9" s="7">
        <v>326</v>
      </c>
      <c r="JK9" s="7">
        <v>38</v>
      </c>
      <c r="JL9" s="7">
        <v>3541</v>
      </c>
      <c r="JM9" s="7">
        <v>2125</v>
      </c>
      <c r="JN9" s="7">
        <v>1021</v>
      </c>
      <c r="JO9" s="7">
        <v>4480</v>
      </c>
      <c r="JP9" s="7">
        <v>4619</v>
      </c>
      <c r="JQ9" s="7">
        <v>307</v>
      </c>
      <c r="JR9" s="7">
        <v>967</v>
      </c>
      <c r="JS9" s="7">
        <v>1621</v>
      </c>
      <c r="JT9" s="7">
        <v>48</v>
      </c>
      <c r="JU9" s="151">
        <v>740.98615742274592</v>
      </c>
      <c r="JV9" s="151">
        <v>4705.3266829718068</v>
      </c>
      <c r="JW9" s="151">
        <v>582.97225865798839</v>
      </c>
      <c r="JX9" s="151">
        <v>34.44444659722236</v>
      </c>
      <c r="JY9" s="7">
        <v>6085</v>
      </c>
      <c r="JZ9" s="7">
        <v>29352</v>
      </c>
      <c r="KA9" s="7">
        <v>5</v>
      </c>
      <c r="KB9" s="7">
        <v>1</v>
      </c>
      <c r="KC9" s="7">
        <v>0</v>
      </c>
      <c r="KD9" s="7">
        <v>0</v>
      </c>
      <c r="KE9" s="7">
        <v>0</v>
      </c>
      <c r="KF9" s="7">
        <v>1</v>
      </c>
      <c r="KG9" s="7">
        <v>188</v>
      </c>
      <c r="KH9" s="7">
        <v>6016</v>
      </c>
      <c r="KI9" s="7">
        <v>21976</v>
      </c>
      <c r="KJ9" s="7">
        <v>1385</v>
      </c>
      <c r="KK9" s="7">
        <v>142</v>
      </c>
      <c r="KL9" s="7">
        <v>3442</v>
      </c>
      <c r="KM9" s="7">
        <v>21857</v>
      </c>
      <c r="KN9" s="7">
        <v>2708</v>
      </c>
      <c r="KO9" s="7">
        <v>160</v>
      </c>
      <c r="KP9" s="7">
        <v>28167</v>
      </c>
      <c r="KQ9" s="7">
        <v>1264</v>
      </c>
      <c r="KR9" s="7">
        <v>4249</v>
      </c>
      <c r="KS9" s="7">
        <v>4249</v>
      </c>
      <c r="KT9" s="7">
        <v>824</v>
      </c>
      <c r="KU9" s="7">
        <v>300</v>
      </c>
      <c r="KV9" s="7">
        <v>722</v>
      </c>
      <c r="KW9" s="7">
        <v>0</v>
      </c>
      <c r="KX9" s="7">
        <v>822</v>
      </c>
      <c r="KY9" s="7">
        <v>329</v>
      </c>
      <c r="KZ9" s="7">
        <v>769</v>
      </c>
      <c r="LA9" s="7">
        <v>0</v>
      </c>
      <c r="LB9" s="7">
        <v>2503</v>
      </c>
      <c r="LC9" s="7">
        <v>2580</v>
      </c>
      <c r="LD9" s="7">
        <v>1482</v>
      </c>
      <c r="LE9" s="7">
        <v>2481</v>
      </c>
      <c r="LF9" s="7">
        <v>18758</v>
      </c>
      <c r="LG9" s="7">
        <v>22</v>
      </c>
      <c r="LH9" s="7">
        <v>4539</v>
      </c>
      <c r="LI9" s="7">
        <v>439</v>
      </c>
      <c r="LJ9" s="7">
        <v>1601</v>
      </c>
      <c r="LK9" s="7">
        <v>2</v>
      </c>
      <c r="LL9" s="7">
        <v>761</v>
      </c>
      <c r="LM9" s="7">
        <v>301</v>
      </c>
      <c r="LN9" s="7">
        <v>18</v>
      </c>
      <c r="LO9" s="7">
        <v>4629</v>
      </c>
      <c r="LP9" s="7">
        <v>460</v>
      </c>
      <c r="LQ9" s="7">
        <v>1455</v>
      </c>
      <c r="LR9" s="7">
        <v>1</v>
      </c>
      <c r="LS9" s="7">
        <v>755</v>
      </c>
      <c r="LT9" s="7">
        <v>236</v>
      </c>
      <c r="LU9" s="232">
        <v>5.3197406493999999</v>
      </c>
      <c r="LV9" s="232">
        <v>5.6329296744999997</v>
      </c>
      <c r="LW9" s="232">
        <v>5.0279474175000001</v>
      </c>
      <c r="LX9" s="7">
        <v>6354</v>
      </c>
      <c r="LY9" s="7">
        <v>29519</v>
      </c>
    </row>
    <row r="10" spans="1:16384" x14ac:dyDescent="0.25">
      <c r="A10" t="s">
        <v>50</v>
      </c>
      <c r="B10" t="s">
        <v>51</v>
      </c>
      <c r="C10" s="7">
        <v>6559</v>
      </c>
      <c r="D10">
        <v>8728</v>
      </c>
      <c r="F10">
        <f t="shared" si="0"/>
        <v>-8728</v>
      </c>
      <c r="G10">
        <f t="shared" si="1"/>
        <v>-100</v>
      </c>
      <c r="H10">
        <v>4183</v>
      </c>
      <c r="I10">
        <v>4545</v>
      </c>
      <c r="J10">
        <v>4661</v>
      </c>
      <c r="K10">
        <v>4067</v>
      </c>
      <c r="L10" s="7">
        <v>548</v>
      </c>
      <c r="M10" s="7">
        <v>549</v>
      </c>
      <c r="N10" s="7">
        <v>518</v>
      </c>
      <c r="O10" s="7">
        <v>460</v>
      </c>
      <c r="P10" s="7">
        <v>387</v>
      </c>
      <c r="Q10" s="7">
        <v>279</v>
      </c>
      <c r="R10" s="7">
        <v>262</v>
      </c>
      <c r="S10" s="7">
        <v>240</v>
      </c>
      <c r="T10" s="7">
        <v>155</v>
      </c>
      <c r="U10" s="7">
        <v>142</v>
      </c>
      <c r="V10" s="7">
        <v>122</v>
      </c>
      <c r="W10" s="7">
        <v>101</v>
      </c>
      <c r="X10" s="7">
        <v>77</v>
      </c>
      <c r="Y10" s="7">
        <v>163</v>
      </c>
      <c r="Z10" s="7">
        <v>180</v>
      </c>
      <c r="AA10" s="7">
        <v>569</v>
      </c>
      <c r="AB10" s="7">
        <v>552</v>
      </c>
      <c r="AC10" s="7">
        <v>501</v>
      </c>
      <c r="AD10" s="7">
        <v>472</v>
      </c>
      <c r="AE10" s="7">
        <v>438</v>
      </c>
      <c r="AF10" s="7">
        <v>350</v>
      </c>
      <c r="AG10" s="7">
        <v>309</v>
      </c>
      <c r="AH10" s="7">
        <v>265</v>
      </c>
      <c r="AI10" s="7">
        <v>197</v>
      </c>
      <c r="AJ10" s="7">
        <v>181</v>
      </c>
      <c r="AK10" s="7">
        <v>141</v>
      </c>
      <c r="AL10" s="7">
        <v>116</v>
      </c>
      <c r="AM10" s="7">
        <v>95</v>
      </c>
      <c r="AN10" s="7">
        <v>175</v>
      </c>
      <c r="AO10" s="7">
        <v>184</v>
      </c>
      <c r="AP10">
        <v>8354</v>
      </c>
      <c r="AQ10">
        <v>7</v>
      </c>
      <c r="AR10" t="s">
        <v>358</v>
      </c>
      <c r="AS10">
        <v>1</v>
      </c>
      <c r="AT10">
        <v>366</v>
      </c>
      <c r="AU10" s="7">
        <v>5823</v>
      </c>
      <c r="AV10" s="7">
        <v>2785</v>
      </c>
      <c r="AW10" s="7">
        <v>3038</v>
      </c>
      <c r="AX10" s="7">
        <v>3508</v>
      </c>
      <c r="AY10" s="7">
        <v>5823</v>
      </c>
      <c r="AZ10" s="7">
        <v>1778</v>
      </c>
      <c r="BA10" s="7">
        <v>4045</v>
      </c>
      <c r="BB10" s="7">
        <v>156</v>
      </c>
      <c r="BC10" s="7">
        <v>156</v>
      </c>
      <c r="BD10" s="7">
        <v>357</v>
      </c>
      <c r="BE10" s="7">
        <v>373</v>
      </c>
      <c r="BF10" s="7">
        <v>357</v>
      </c>
      <c r="BG10" s="7">
        <v>357</v>
      </c>
      <c r="BH10" s="7">
        <v>357</v>
      </c>
      <c r="BI10" s="7">
        <v>333</v>
      </c>
      <c r="BJ10" s="7">
        <v>296</v>
      </c>
      <c r="BK10" s="7">
        <v>326</v>
      </c>
      <c r="BL10" s="7">
        <v>218</v>
      </c>
      <c r="BM10" s="7">
        <v>262</v>
      </c>
      <c r="BN10" s="7">
        <v>204</v>
      </c>
      <c r="BO10" s="7">
        <v>257</v>
      </c>
      <c r="BP10" s="7">
        <v>206</v>
      </c>
      <c r="BQ10" s="7">
        <v>215</v>
      </c>
      <c r="BR10" s="7">
        <v>130</v>
      </c>
      <c r="BS10" s="7">
        <v>166</v>
      </c>
      <c r="BT10" s="7">
        <v>121</v>
      </c>
      <c r="BU10" s="7">
        <v>152</v>
      </c>
      <c r="BV10" s="7">
        <v>109</v>
      </c>
      <c r="BW10" s="7">
        <v>119</v>
      </c>
      <c r="BX10" s="7">
        <v>80</v>
      </c>
      <c r="BY10" s="7">
        <v>95</v>
      </c>
      <c r="BZ10" s="7">
        <v>57</v>
      </c>
      <c r="CA10" s="7">
        <v>73</v>
      </c>
      <c r="CB10" s="7">
        <v>137</v>
      </c>
      <c r="CC10" s="7">
        <v>154</v>
      </c>
      <c r="CD10" s="7">
        <v>2500</v>
      </c>
      <c r="CE10" s="7">
        <v>2580</v>
      </c>
      <c r="CF10" s="7">
        <v>214</v>
      </c>
      <c r="CG10" s="7">
        <v>392</v>
      </c>
      <c r="CH10" s="7">
        <v>1529</v>
      </c>
      <c r="CI10" s="7">
        <v>298</v>
      </c>
      <c r="CJ10" s="7">
        <v>7514</v>
      </c>
      <c r="CK10" s="7">
        <v>857</v>
      </c>
      <c r="CL10" s="7">
        <v>109</v>
      </c>
      <c r="CM10" s="7">
        <v>232</v>
      </c>
      <c r="CN10" s="7">
        <v>277</v>
      </c>
      <c r="CO10" s="7">
        <v>365</v>
      </c>
      <c r="CP10" s="7">
        <v>297</v>
      </c>
      <c r="CQ10" s="7">
        <v>547</v>
      </c>
      <c r="CR10" s="7">
        <v>1482</v>
      </c>
      <c r="CS10" s="7">
        <v>4504</v>
      </c>
      <c r="CT10" s="7">
        <v>237</v>
      </c>
      <c r="CU10" s="7">
        <v>128</v>
      </c>
      <c r="CV10" s="7">
        <v>52</v>
      </c>
      <c r="CW10" s="7">
        <v>106</v>
      </c>
      <c r="CX10" s="7">
        <v>2</v>
      </c>
      <c r="CY10" s="7">
        <v>6371</v>
      </c>
      <c r="CZ10" s="7">
        <v>1699</v>
      </c>
      <c r="DA10" s="7">
        <v>8</v>
      </c>
      <c r="DB10" s="7">
        <v>109</v>
      </c>
      <c r="DC10" s="7">
        <v>0</v>
      </c>
      <c r="DD10" s="7">
        <v>3061</v>
      </c>
      <c r="DE10" s="7">
        <v>456</v>
      </c>
      <c r="DF10" s="7">
        <v>550</v>
      </c>
      <c r="DG10" s="7">
        <v>4661</v>
      </c>
      <c r="DH10" s="7">
        <v>0</v>
      </c>
      <c r="DI10" s="7">
        <v>0</v>
      </c>
      <c r="DJ10" s="7">
        <v>0</v>
      </c>
      <c r="DK10" s="7">
        <v>0</v>
      </c>
      <c r="DL10" s="7">
        <v>51</v>
      </c>
      <c r="DM10" s="7">
        <v>1</v>
      </c>
      <c r="DN10" s="7">
        <v>1</v>
      </c>
      <c r="DO10" s="7">
        <v>1</v>
      </c>
      <c r="DP10" s="7">
        <v>0</v>
      </c>
      <c r="DQ10" s="7">
        <v>0</v>
      </c>
      <c r="DR10" s="7">
        <v>0</v>
      </c>
      <c r="DS10" s="7">
        <v>0</v>
      </c>
      <c r="DT10" s="7">
        <v>43</v>
      </c>
      <c r="DU10" s="7">
        <v>48</v>
      </c>
      <c r="DV10" s="7">
        <v>18</v>
      </c>
      <c r="DW10" s="7">
        <v>27</v>
      </c>
      <c r="DX10" s="7">
        <v>16</v>
      </c>
      <c r="DY10" s="7">
        <v>12</v>
      </c>
      <c r="DZ10" s="7">
        <v>15</v>
      </c>
      <c r="EA10" s="7">
        <v>8</v>
      </c>
      <c r="EB10" s="7">
        <v>2</v>
      </c>
      <c r="EC10" s="7">
        <v>1</v>
      </c>
      <c r="ED10" s="7">
        <v>2</v>
      </c>
      <c r="EE10" s="7">
        <v>0</v>
      </c>
      <c r="EF10" s="7">
        <v>8</v>
      </c>
      <c r="EG10" s="7">
        <v>6</v>
      </c>
      <c r="EH10" s="7">
        <v>25</v>
      </c>
      <c r="EI10" s="7">
        <v>10</v>
      </c>
      <c r="EJ10" s="7">
        <v>3</v>
      </c>
      <c r="EK10" s="7">
        <v>5</v>
      </c>
      <c r="EL10" s="7">
        <v>0</v>
      </c>
      <c r="EM10" s="7">
        <v>0</v>
      </c>
      <c r="EN10" s="7">
        <v>1</v>
      </c>
      <c r="EO10" s="7">
        <v>2143</v>
      </c>
      <c r="EP10" s="7">
        <v>2096</v>
      </c>
      <c r="EQ10" s="7">
        <v>47</v>
      </c>
      <c r="ER10" s="7">
        <v>529</v>
      </c>
      <c r="ES10" s="7">
        <v>1128</v>
      </c>
      <c r="ET10" s="7">
        <v>1124</v>
      </c>
      <c r="EU10" s="7">
        <v>4</v>
      </c>
      <c r="EV10" s="7">
        <v>1897</v>
      </c>
      <c r="EW10" s="134">
        <v>66.459047025999993</v>
      </c>
      <c r="EX10" s="134">
        <v>29.149797571000001</v>
      </c>
      <c r="EY10" s="134">
        <v>0.62285892249999997</v>
      </c>
      <c r="EZ10" s="134">
        <v>3.4568670196000002</v>
      </c>
      <c r="FA10" s="134">
        <v>0.31142946119999998</v>
      </c>
      <c r="FB10" s="7">
        <v>829</v>
      </c>
      <c r="FC10" s="7">
        <v>1949</v>
      </c>
      <c r="FD10" s="7">
        <v>72</v>
      </c>
      <c r="FE10" s="7">
        <v>295</v>
      </c>
      <c r="FF10" s="7">
        <v>1</v>
      </c>
      <c r="FG10" s="7">
        <v>91</v>
      </c>
      <c r="FH10" s="7">
        <v>29</v>
      </c>
      <c r="FI10" s="134">
        <v>87.324820927999994</v>
      </c>
      <c r="FJ10" s="134">
        <v>5.9483027094000001</v>
      </c>
      <c r="FK10" s="134">
        <v>2.2734350669999999</v>
      </c>
      <c r="FL10" s="134">
        <v>4.4534412955000002</v>
      </c>
      <c r="FM10" s="151">
        <v>584</v>
      </c>
      <c r="FN10" s="151">
        <v>3407</v>
      </c>
      <c r="FO10" s="7">
        <v>33</v>
      </c>
      <c r="FP10" s="7">
        <v>22</v>
      </c>
      <c r="FQ10" s="7">
        <v>1</v>
      </c>
      <c r="FR10" s="7">
        <v>0</v>
      </c>
      <c r="FS10" s="7">
        <v>525</v>
      </c>
      <c r="FT10" s="7">
        <v>2</v>
      </c>
      <c r="FU10" s="7">
        <v>1</v>
      </c>
      <c r="FV10" s="7">
        <v>192</v>
      </c>
      <c r="FW10" s="7">
        <v>642</v>
      </c>
      <c r="FX10" s="7">
        <v>3702</v>
      </c>
      <c r="FY10" s="7">
        <v>30</v>
      </c>
      <c r="FZ10" s="7">
        <v>23</v>
      </c>
      <c r="GA10" s="7">
        <v>0</v>
      </c>
      <c r="GB10" s="7">
        <v>0</v>
      </c>
      <c r="GC10" s="7">
        <v>586</v>
      </c>
      <c r="GD10" s="7">
        <v>2</v>
      </c>
      <c r="GE10" s="7">
        <v>1</v>
      </c>
      <c r="GF10" s="7">
        <v>201</v>
      </c>
      <c r="GG10" s="7">
        <v>92</v>
      </c>
      <c r="GH10" s="7">
        <v>83</v>
      </c>
      <c r="GI10" s="7">
        <v>90</v>
      </c>
      <c r="GJ10" s="7">
        <v>51</v>
      </c>
      <c r="GK10" s="7">
        <v>51</v>
      </c>
      <c r="GL10" s="7">
        <v>35</v>
      </c>
      <c r="GM10" s="7">
        <v>37</v>
      </c>
      <c r="GN10" s="7">
        <v>30</v>
      </c>
      <c r="GO10" s="7">
        <v>28</v>
      </c>
      <c r="GP10" s="7">
        <v>23</v>
      </c>
      <c r="GQ10" s="7">
        <v>17</v>
      </c>
      <c r="GR10" s="7">
        <v>16</v>
      </c>
      <c r="GS10" s="7">
        <v>9</v>
      </c>
      <c r="GT10" s="7">
        <v>12</v>
      </c>
      <c r="GU10" s="7">
        <v>5</v>
      </c>
      <c r="GV10" s="7">
        <v>3</v>
      </c>
      <c r="GW10" s="7">
        <v>2</v>
      </c>
      <c r="GX10" s="7">
        <v>0</v>
      </c>
      <c r="GY10" s="7">
        <v>85</v>
      </c>
      <c r="GZ10" s="7">
        <v>81</v>
      </c>
      <c r="HA10" s="7">
        <v>72</v>
      </c>
      <c r="HB10" s="7">
        <v>72</v>
      </c>
      <c r="HC10" s="7">
        <v>60</v>
      </c>
      <c r="HD10" s="7">
        <v>40</v>
      </c>
      <c r="HE10" s="7">
        <v>57</v>
      </c>
      <c r="HF10" s="7">
        <v>49</v>
      </c>
      <c r="HG10" s="7">
        <v>21</v>
      </c>
      <c r="HH10" s="7">
        <v>28</v>
      </c>
      <c r="HI10" s="7">
        <v>18</v>
      </c>
      <c r="HJ10" s="7">
        <v>19</v>
      </c>
      <c r="HK10" s="7">
        <v>13</v>
      </c>
      <c r="HL10" s="7">
        <v>7</v>
      </c>
      <c r="HM10" s="7">
        <v>9</v>
      </c>
      <c r="HN10" s="7">
        <v>4</v>
      </c>
      <c r="HO10" s="7">
        <v>3</v>
      </c>
      <c r="HP10" s="7">
        <v>3</v>
      </c>
      <c r="HQ10" s="7">
        <v>1817</v>
      </c>
      <c r="HR10" s="7">
        <v>1</v>
      </c>
      <c r="HS10" s="7">
        <v>0</v>
      </c>
      <c r="HT10" s="7">
        <v>0</v>
      </c>
      <c r="HU10" s="7">
        <v>0</v>
      </c>
      <c r="HV10" s="7">
        <v>0</v>
      </c>
      <c r="HW10" s="7">
        <v>0</v>
      </c>
      <c r="HX10" s="7">
        <v>128</v>
      </c>
      <c r="HY10" s="7">
        <v>109</v>
      </c>
      <c r="HZ10" s="7">
        <v>232</v>
      </c>
      <c r="IA10" s="7">
        <v>277</v>
      </c>
      <c r="IB10" s="7">
        <v>365</v>
      </c>
      <c r="IC10" s="7">
        <v>297</v>
      </c>
      <c r="ID10" s="7">
        <v>217</v>
      </c>
      <c r="IE10" s="7">
        <v>132</v>
      </c>
      <c r="IF10" s="7">
        <v>93</v>
      </c>
      <c r="IG10" s="7">
        <v>105</v>
      </c>
      <c r="IH10" s="7">
        <v>80</v>
      </c>
      <c r="II10" s="7">
        <v>981</v>
      </c>
      <c r="IJ10" s="7">
        <v>486</v>
      </c>
      <c r="IK10" s="7">
        <v>186</v>
      </c>
      <c r="IL10" s="7">
        <v>49</v>
      </c>
      <c r="IM10" s="7">
        <v>5</v>
      </c>
      <c r="IN10" s="7">
        <v>5</v>
      </c>
      <c r="IO10" s="7">
        <v>1</v>
      </c>
      <c r="IP10" s="7">
        <v>3</v>
      </c>
      <c r="IQ10" s="7">
        <v>1144</v>
      </c>
      <c r="IR10" s="7">
        <v>468</v>
      </c>
      <c r="IS10" s="7">
        <v>154</v>
      </c>
      <c r="IT10" s="7">
        <v>26</v>
      </c>
      <c r="IU10" s="7">
        <v>5</v>
      </c>
      <c r="IV10" s="7">
        <v>509</v>
      </c>
      <c r="IW10" s="7">
        <v>764</v>
      </c>
      <c r="IX10" s="7">
        <v>9</v>
      </c>
      <c r="IY10" s="7">
        <v>16</v>
      </c>
      <c r="IZ10" s="7">
        <v>26</v>
      </c>
      <c r="JA10" s="7">
        <v>491</v>
      </c>
      <c r="JB10" s="7">
        <v>860</v>
      </c>
      <c r="JC10" s="7">
        <v>226</v>
      </c>
      <c r="JD10" s="7">
        <v>5</v>
      </c>
      <c r="JE10" s="7">
        <v>4</v>
      </c>
      <c r="JF10" s="151">
        <v>1436.7627942384568</v>
      </c>
      <c r="JG10" s="151">
        <v>380.63410499040998</v>
      </c>
      <c r="JH10" s="7">
        <v>676</v>
      </c>
      <c r="JI10" s="7">
        <v>1113</v>
      </c>
      <c r="JJ10" s="7">
        <v>20</v>
      </c>
      <c r="JK10" s="7">
        <v>18</v>
      </c>
      <c r="JL10" s="7">
        <v>100</v>
      </c>
      <c r="JM10" s="7">
        <v>43</v>
      </c>
      <c r="JN10" s="7">
        <v>127</v>
      </c>
      <c r="JO10" s="7">
        <v>859</v>
      </c>
      <c r="JP10" s="7">
        <v>758</v>
      </c>
      <c r="JQ10" s="7">
        <v>11</v>
      </c>
      <c r="JR10" s="7">
        <v>10</v>
      </c>
      <c r="JS10" s="7">
        <v>70</v>
      </c>
      <c r="JT10" s="7">
        <v>5</v>
      </c>
      <c r="JU10" s="151">
        <v>336.98340487683083</v>
      </c>
      <c r="JV10" s="151">
        <v>614.8201110997619</v>
      </c>
      <c r="JW10" s="151">
        <v>477.32040574198771</v>
      </c>
      <c r="JX10" s="151">
        <v>7.6388725198763465</v>
      </c>
      <c r="JY10" s="7">
        <v>1692</v>
      </c>
      <c r="JZ10" s="7">
        <v>8337</v>
      </c>
      <c r="KA10" s="7">
        <v>6</v>
      </c>
      <c r="KB10" s="7">
        <v>0</v>
      </c>
      <c r="KC10" s="7">
        <v>0</v>
      </c>
      <c r="KD10" s="7">
        <v>0</v>
      </c>
      <c r="KE10" s="7">
        <v>0</v>
      </c>
      <c r="KF10" s="7">
        <v>0</v>
      </c>
      <c r="KG10" s="7">
        <v>385</v>
      </c>
      <c r="KH10" s="7">
        <v>3077</v>
      </c>
      <c r="KI10" s="7">
        <v>5131</v>
      </c>
      <c r="KJ10" s="7">
        <v>86</v>
      </c>
      <c r="KK10" s="7">
        <v>77</v>
      </c>
      <c r="KL10" s="7">
        <v>1544</v>
      </c>
      <c r="KM10" s="7">
        <v>2817</v>
      </c>
      <c r="KN10" s="7">
        <v>2187</v>
      </c>
      <c r="KO10" s="7">
        <v>35</v>
      </c>
      <c r="KP10" s="7">
        <v>6583</v>
      </c>
      <c r="KQ10" s="7">
        <v>1744</v>
      </c>
      <c r="KR10" s="7">
        <v>1269</v>
      </c>
      <c r="KS10" s="7">
        <v>1269</v>
      </c>
      <c r="KT10" s="7">
        <v>281</v>
      </c>
      <c r="KU10" s="7">
        <v>82</v>
      </c>
      <c r="KV10" s="7">
        <v>163</v>
      </c>
      <c r="KW10" s="7">
        <v>0</v>
      </c>
      <c r="KX10" s="7">
        <v>271</v>
      </c>
      <c r="KY10" s="7">
        <v>43</v>
      </c>
      <c r="KZ10" s="7">
        <v>105</v>
      </c>
      <c r="LA10" s="7">
        <v>0</v>
      </c>
      <c r="LB10" s="7">
        <v>711</v>
      </c>
      <c r="LC10" s="7">
        <v>698</v>
      </c>
      <c r="LD10" s="7">
        <v>530</v>
      </c>
      <c r="LE10" s="7">
        <v>1156</v>
      </c>
      <c r="LF10" s="7">
        <v>5127</v>
      </c>
      <c r="LG10" s="7">
        <v>8</v>
      </c>
      <c r="LH10" s="7">
        <v>1367</v>
      </c>
      <c r="LI10" s="7">
        <v>119</v>
      </c>
      <c r="LJ10" s="7">
        <v>251</v>
      </c>
      <c r="LK10" s="7">
        <v>1</v>
      </c>
      <c r="LL10" s="7">
        <v>136</v>
      </c>
      <c r="LM10" s="7">
        <v>40</v>
      </c>
      <c r="LN10" s="7">
        <v>8</v>
      </c>
      <c r="LO10" s="7">
        <v>1443</v>
      </c>
      <c r="LP10" s="7">
        <v>65</v>
      </c>
      <c r="LQ10" s="7">
        <v>145</v>
      </c>
      <c r="LR10" s="7">
        <v>0</v>
      </c>
      <c r="LS10" s="7">
        <v>78</v>
      </c>
      <c r="LT10" s="7">
        <v>16</v>
      </c>
      <c r="LU10" s="232">
        <v>3.9592795614999998</v>
      </c>
      <c r="LV10" s="232">
        <v>4.7774505678999999</v>
      </c>
      <c r="LW10" s="232">
        <v>3.2471622116000001</v>
      </c>
      <c r="LX10" s="7">
        <v>1827</v>
      </c>
      <c r="LY10" s="7">
        <v>8371</v>
      </c>
    </row>
    <row r="11" spans="1:16384" x14ac:dyDescent="0.25">
      <c r="A11" t="s">
        <v>52</v>
      </c>
      <c r="B11" t="s">
        <v>53</v>
      </c>
      <c r="C11" s="7">
        <v>21848</v>
      </c>
      <c r="D11">
        <v>26628</v>
      </c>
      <c r="F11">
        <f t="shared" si="0"/>
        <v>-26628</v>
      </c>
      <c r="G11">
        <f t="shared" si="1"/>
        <v>-100</v>
      </c>
      <c r="H11">
        <v>13359</v>
      </c>
      <c r="I11">
        <v>13269</v>
      </c>
      <c r="J11">
        <v>13902</v>
      </c>
      <c r="K11">
        <v>12726</v>
      </c>
      <c r="L11" s="7">
        <v>1578</v>
      </c>
      <c r="M11" s="7">
        <v>1678</v>
      </c>
      <c r="N11" s="7">
        <v>1781</v>
      </c>
      <c r="O11" s="7">
        <v>1545</v>
      </c>
      <c r="P11" s="7">
        <v>1119</v>
      </c>
      <c r="Q11" s="7">
        <v>927</v>
      </c>
      <c r="R11" s="7">
        <v>915</v>
      </c>
      <c r="S11" s="7">
        <v>803</v>
      </c>
      <c r="T11" s="7">
        <v>629</v>
      </c>
      <c r="U11" s="7">
        <v>564</v>
      </c>
      <c r="V11" s="7">
        <v>451</v>
      </c>
      <c r="W11" s="7">
        <v>416</v>
      </c>
      <c r="X11" s="7">
        <v>288</v>
      </c>
      <c r="Y11" s="7">
        <v>657</v>
      </c>
      <c r="Z11" s="7">
        <v>8</v>
      </c>
      <c r="AA11" s="7">
        <v>1474</v>
      </c>
      <c r="AB11" s="7">
        <v>1538</v>
      </c>
      <c r="AC11" s="7">
        <v>1648</v>
      </c>
      <c r="AD11" s="7">
        <v>1532</v>
      </c>
      <c r="AE11" s="7">
        <v>1306</v>
      </c>
      <c r="AF11" s="7">
        <v>1140</v>
      </c>
      <c r="AG11" s="7">
        <v>941</v>
      </c>
      <c r="AH11" s="7">
        <v>871</v>
      </c>
      <c r="AI11" s="7">
        <v>652</v>
      </c>
      <c r="AJ11" s="7">
        <v>567</v>
      </c>
      <c r="AK11" s="7">
        <v>429</v>
      </c>
      <c r="AL11" s="7">
        <v>321</v>
      </c>
      <c r="AM11" s="7">
        <v>268</v>
      </c>
      <c r="AN11" s="7">
        <v>574</v>
      </c>
      <c r="AO11" s="7">
        <v>8</v>
      </c>
      <c r="AP11">
        <v>26291</v>
      </c>
      <c r="AQ11">
        <v>83</v>
      </c>
      <c r="AR11">
        <v>8</v>
      </c>
      <c r="AS11">
        <v>199</v>
      </c>
      <c r="AT11">
        <v>47</v>
      </c>
      <c r="AU11" s="7">
        <v>808</v>
      </c>
      <c r="AV11" s="7">
        <v>438</v>
      </c>
      <c r="AW11" s="7">
        <v>370</v>
      </c>
      <c r="AX11" s="7">
        <v>636</v>
      </c>
      <c r="AY11" s="7">
        <v>808</v>
      </c>
      <c r="AZ11" s="7">
        <v>641</v>
      </c>
      <c r="BA11" s="7">
        <v>167</v>
      </c>
      <c r="BB11" s="7">
        <v>21</v>
      </c>
      <c r="BC11" s="7">
        <v>25</v>
      </c>
      <c r="BD11" s="7">
        <v>66</v>
      </c>
      <c r="BE11" s="7">
        <v>44</v>
      </c>
      <c r="BF11" s="7">
        <v>49</v>
      </c>
      <c r="BG11" s="7">
        <v>44</v>
      </c>
      <c r="BH11" s="7">
        <v>36</v>
      </c>
      <c r="BI11" s="7">
        <v>46</v>
      </c>
      <c r="BJ11" s="7">
        <v>27</v>
      </c>
      <c r="BK11" s="7">
        <v>28</v>
      </c>
      <c r="BL11" s="7">
        <v>36</v>
      </c>
      <c r="BM11" s="7">
        <v>32</v>
      </c>
      <c r="BN11" s="7">
        <v>23</v>
      </c>
      <c r="BO11" s="7">
        <v>24</v>
      </c>
      <c r="BP11" s="7">
        <v>32</v>
      </c>
      <c r="BQ11" s="7">
        <v>26</v>
      </c>
      <c r="BR11" s="7">
        <v>42</v>
      </c>
      <c r="BS11" s="7">
        <v>31</v>
      </c>
      <c r="BT11" s="7">
        <v>31</v>
      </c>
      <c r="BU11" s="7">
        <v>18</v>
      </c>
      <c r="BV11" s="7">
        <v>24</v>
      </c>
      <c r="BW11" s="7">
        <v>12</v>
      </c>
      <c r="BX11" s="7">
        <v>14</v>
      </c>
      <c r="BY11" s="7">
        <v>10</v>
      </c>
      <c r="BZ11" s="7">
        <v>9</v>
      </c>
      <c r="CA11" s="7">
        <v>14</v>
      </c>
      <c r="CB11" s="7">
        <v>28</v>
      </c>
      <c r="CC11" s="7">
        <v>16</v>
      </c>
      <c r="CD11" s="7">
        <v>402</v>
      </c>
      <c r="CE11" s="7">
        <v>337</v>
      </c>
      <c r="CF11" s="7">
        <v>17</v>
      </c>
      <c r="CG11" s="7">
        <v>16</v>
      </c>
      <c r="CH11" s="7">
        <v>4522</v>
      </c>
      <c r="CI11" s="7">
        <v>885</v>
      </c>
      <c r="CJ11" s="7">
        <v>22928</v>
      </c>
      <c r="CK11" s="7">
        <v>3691</v>
      </c>
      <c r="CL11" s="7">
        <v>259</v>
      </c>
      <c r="CM11" s="7">
        <v>475</v>
      </c>
      <c r="CN11" s="7">
        <v>728</v>
      </c>
      <c r="CO11" s="7">
        <v>1077</v>
      </c>
      <c r="CP11" s="7">
        <v>977</v>
      </c>
      <c r="CQ11" s="7">
        <v>1891</v>
      </c>
      <c r="CR11" s="7">
        <v>4201</v>
      </c>
      <c r="CS11" s="7">
        <v>12864</v>
      </c>
      <c r="CT11" s="7">
        <v>2106</v>
      </c>
      <c r="CU11" s="7">
        <v>814</v>
      </c>
      <c r="CV11" s="7">
        <v>265</v>
      </c>
      <c r="CW11" s="7">
        <v>814</v>
      </c>
      <c r="CX11" s="7">
        <v>90</v>
      </c>
      <c r="CY11" s="7">
        <v>15302</v>
      </c>
      <c r="CZ11" s="7">
        <v>10366</v>
      </c>
      <c r="DA11" s="7">
        <v>331</v>
      </c>
      <c r="DB11" s="7">
        <v>259</v>
      </c>
      <c r="DC11" s="7">
        <v>27</v>
      </c>
      <c r="DD11" s="7">
        <v>2554</v>
      </c>
      <c r="DE11" s="7">
        <v>1625</v>
      </c>
      <c r="DF11" s="7">
        <v>8547</v>
      </c>
      <c r="DG11" s="7">
        <v>3475</v>
      </c>
      <c r="DH11" s="7">
        <v>0</v>
      </c>
      <c r="DI11" s="7">
        <v>10427</v>
      </c>
      <c r="DJ11" s="7">
        <v>0</v>
      </c>
      <c r="DK11" s="7">
        <v>0</v>
      </c>
      <c r="DL11" s="7">
        <v>77</v>
      </c>
      <c r="DM11" s="7">
        <v>4</v>
      </c>
      <c r="DN11" s="7">
        <v>7</v>
      </c>
      <c r="DO11" s="7">
        <v>1</v>
      </c>
      <c r="DP11" s="7">
        <v>0</v>
      </c>
      <c r="DQ11" s="7">
        <v>1</v>
      </c>
      <c r="DR11" s="7">
        <v>0</v>
      </c>
      <c r="DS11" s="7">
        <v>0</v>
      </c>
      <c r="DT11" s="7">
        <v>92</v>
      </c>
      <c r="DU11" s="7">
        <v>75</v>
      </c>
      <c r="DV11" s="7">
        <v>71</v>
      </c>
      <c r="DW11" s="7">
        <v>61</v>
      </c>
      <c r="DX11" s="7">
        <v>47</v>
      </c>
      <c r="DY11" s="7">
        <v>41</v>
      </c>
      <c r="DZ11" s="7">
        <v>37</v>
      </c>
      <c r="EA11" s="7">
        <v>32</v>
      </c>
      <c r="EB11" s="7">
        <v>14</v>
      </c>
      <c r="EC11" s="7">
        <v>9</v>
      </c>
      <c r="ED11" s="7">
        <v>17</v>
      </c>
      <c r="EE11" s="7">
        <v>7</v>
      </c>
      <c r="EF11" s="7">
        <v>29</v>
      </c>
      <c r="EG11" s="7">
        <v>20</v>
      </c>
      <c r="EH11" s="7">
        <v>73</v>
      </c>
      <c r="EI11" s="7">
        <v>69</v>
      </c>
      <c r="EJ11" s="7">
        <v>36</v>
      </c>
      <c r="EK11" s="7">
        <v>25</v>
      </c>
      <c r="EL11" s="7">
        <v>7</v>
      </c>
      <c r="EM11" s="7">
        <v>12</v>
      </c>
      <c r="EN11" s="7">
        <v>15</v>
      </c>
      <c r="EO11" s="7">
        <v>7290</v>
      </c>
      <c r="EP11" s="7">
        <v>7175</v>
      </c>
      <c r="EQ11" s="7">
        <v>115</v>
      </c>
      <c r="ER11" s="7">
        <v>2048</v>
      </c>
      <c r="ES11" s="7">
        <v>1351</v>
      </c>
      <c r="ET11" s="7">
        <v>1322</v>
      </c>
      <c r="EU11" s="7">
        <v>29</v>
      </c>
      <c r="EV11" s="7">
        <v>8218</v>
      </c>
      <c r="EW11" s="134">
        <v>60.127570945000002</v>
      </c>
      <c r="EX11" s="134">
        <v>12.301483988999999</v>
      </c>
      <c r="EY11" s="134">
        <v>10.088518615</v>
      </c>
      <c r="EZ11" s="134">
        <v>16.766467066000001</v>
      </c>
      <c r="FA11" s="134">
        <v>0.71595938560000005</v>
      </c>
      <c r="FB11" s="7">
        <v>1449</v>
      </c>
      <c r="FC11" s="7">
        <v>4008</v>
      </c>
      <c r="FD11" s="7">
        <v>283</v>
      </c>
      <c r="FE11" s="7">
        <v>1513</v>
      </c>
      <c r="FF11" s="7">
        <v>5</v>
      </c>
      <c r="FG11" s="7">
        <v>881</v>
      </c>
      <c r="FH11" s="7">
        <v>486</v>
      </c>
      <c r="FI11" s="134">
        <v>58.995053372000001</v>
      </c>
      <c r="FJ11" s="134">
        <v>23.535537619999999</v>
      </c>
      <c r="FK11" s="134">
        <v>12.705024733</v>
      </c>
      <c r="FL11" s="134">
        <v>4.7643842749000003</v>
      </c>
      <c r="FM11" s="151">
        <v>5727</v>
      </c>
      <c r="FN11" s="151">
        <v>7598</v>
      </c>
      <c r="FO11" s="7">
        <v>84</v>
      </c>
      <c r="FP11" s="7">
        <v>150</v>
      </c>
      <c r="FQ11" s="7">
        <v>40</v>
      </c>
      <c r="FR11" s="7">
        <v>4</v>
      </c>
      <c r="FS11" s="7">
        <v>5413</v>
      </c>
      <c r="FT11" s="7">
        <v>10</v>
      </c>
      <c r="FU11" s="7">
        <v>32</v>
      </c>
      <c r="FV11" s="7">
        <v>34</v>
      </c>
      <c r="FW11" s="7">
        <v>6245</v>
      </c>
      <c r="FX11" s="7">
        <v>6990</v>
      </c>
      <c r="FY11" s="7">
        <v>89</v>
      </c>
      <c r="FZ11" s="7">
        <v>167</v>
      </c>
      <c r="GA11" s="7">
        <v>42</v>
      </c>
      <c r="GB11" s="7">
        <v>4</v>
      </c>
      <c r="GC11" s="7">
        <v>5897</v>
      </c>
      <c r="GD11" s="7">
        <v>11</v>
      </c>
      <c r="GE11" s="7">
        <v>44</v>
      </c>
      <c r="GF11" s="7">
        <v>34</v>
      </c>
      <c r="GG11" s="7">
        <v>707</v>
      </c>
      <c r="GH11" s="7">
        <v>779</v>
      </c>
      <c r="GI11" s="7">
        <v>861</v>
      </c>
      <c r="GJ11" s="7">
        <v>670</v>
      </c>
      <c r="GK11" s="7">
        <v>316</v>
      </c>
      <c r="GL11" s="7">
        <v>341</v>
      </c>
      <c r="GM11" s="7">
        <v>430</v>
      </c>
      <c r="GN11" s="7">
        <v>362</v>
      </c>
      <c r="GO11" s="7">
        <v>265</v>
      </c>
      <c r="GP11" s="7">
        <v>238</v>
      </c>
      <c r="GQ11" s="7">
        <v>177</v>
      </c>
      <c r="GR11" s="7">
        <v>168</v>
      </c>
      <c r="GS11" s="7">
        <v>122</v>
      </c>
      <c r="GT11" s="7">
        <v>100</v>
      </c>
      <c r="GU11" s="7">
        <v>84</v>
      </c>
      <c r="GV11" s="7">
        <v>55</v>
      </c>
      <c r="GW11" s="7">
        <v>33</v>
      </c>
      <c r="GX11" s="7">
        <v>17</v>
      </c>
      <c r="GY11" s="7">
        <v>658</v>
      </c>
      <c r="GZ11" s="7">
        <v>713</v>
      </c>
      <c r="HA11" s="7">
        <v>786</v>
      </c>
      <c r="HB11" s="7">
        <v>672</v>
      </c>
      <c r="HC11" s="7">
        <v>525</v>
      </c>
      <c r="HD11" s="7">
        <v>545</v>
      </c>
      <c r="HE11" s="7">
        <v>480</v>
      </c>
      <c r="HF11" s="7">
        <v>448</v>
      </c>
      <c r="HG11" s="7">
        <v>321</v>
      </c>
      <c r="HH11" s="7">
        <v>272</v>
      </c>
      <c r="HI11" s="7">
        <v>218</v>
      </c>
      <c r="HJ11" s="7">
        <v>181</v>
      </c>
      <c r="HK11" s="7">
        <v>138</v>
      </c>
      <c r="HL11" s="7">
        <v>110</v>
      </c>
      <c r="HM11" s="7">
        <v>99</v>
      </c>
      <c r="HN11" s="7">
        <v>37</v>
      </c>
      <c r="HO11" s="7">
        <v>24</v>
      </c>
      <c r="HP11" s="7">
        <v>15</v>
      </c>
      <c r="HQ11" s="7">
        <v>5370</v>
      </c>
      <c r="HR11" s="7">
        <v>4</v>
      </c>
      <c r="HS11" s="7">
        <v>27</v>
      </c>
      <c r="HT11" s="7">
        <v>0</v>
      </c>
      <c r="HU11" s="7">
        <v>0</v>
      </c>
      <c r="HV11" s="7">
        <v>0</v>
      </c>
      <c r="HW11" s="7">
        <v>0</v>
      </c>
      <c r="HX11" s="7">
        <v>9</v>
      </c>
      <c r="HY11" s="7">
        <v>259</v>
      </c>
      <c r="HZ11" s="7">
        <v>475</v>
      </c>
      <c r="IA11" s="7">
        <v>728</v>
      </c>
      <c r="IB11" s="7">
        <v>1077</v>
      </c>
      <c r="IC11" s="7">
        <v>977</v>
      </c>
      <c r="ID11" s="7">
        <v>793</v>
      </c>
      <c r="IE11" s="7">
        <v>433</v>
      </c>
      <c r="IF11" s="7">
        <v>253</v>
      </c>
      <c r="IG11" s="7">
        <v>412</v>
      </c>
      <c r="IH11" s="7">
        <v>738</v>
      </c>
      <c r="II11" s="7">
        <v>1478</v>
      </c>
      <c r="IJ11" s="7">
        <v>1520</v>
      </c>
      <c r="IK11" s="7">
        <v>1011</v>
      </c>
      <c r="IL11" s="7">
        <v>396</v>
      </c>
      <c r="IM11" s="7">
        <v>156</v>
      </c>
      <c r="IN11" s="7">
        <v>42</v>
      </c>
      <c r="IO11" s="7">
        <v>19</v>
      </c>
      <c r="IP11" s="7">
        <v>7</v>
      </c>
      <c r="IQ11" s="7">
        <v>2806</v>
      </c>
      <c r="IR11" s="7">
        <v>1780</v>
      </c>
      <c r="IS11" s="7">
        <v>620</v>
      </c>
      <c r="IT11" s="7">
        <v>140</v>
      </c>
      <c r="IU11" s="7">
        <v>30</v>
      </c>
      <c r="IV11" s="7">
        <v>3362</v>
      </c>
      <c r="IW11" s="7">
        <v>1250</v>
      </c>
      <c r="IX11" s="7">
        <v>316</v>
      </c>
      <c r="IY11" s="7">
        <v>112</v>
      </c>
      <c r="IZ11" s="7">
        <v>2</v>
      </c>
      <c r="JA11" s="7">
        <v>350</v>
      </c>
      <c r="JB11" s="7">
        <v>3114</v>
      </c>
      <c r="JC11" s="7">
        <v>1556</v>
      </c>
      <c r="JD11" s="7">
        <v>67</v>
      </c>
      <c r="JE11" s="7">
        <v>251</v>
      </c>
      <c r="JF11" s="151">
        <v>5115.9207184632824</v>
      </c>
      <c r="JG11" s="151">
        <v>281.53204620781821</v>
      </c>
      <c r="JH11" s="7">
        <v>807</v>
      </c>
      <c r="JI11" s="7">
        <v>4465</v>
      </c>
      <c r="JJ11" s="7">
        <v>117</v>
      </c>
      <c r="JK11" s="7">
        <v>18</v>
      </c>
      <c r="JL11" s="7">
        <v>3227</v>
      </c>
      <c r="JM11" s="7">
        <v>1652</v>
      </c>
      <c r="JN11" s="7">
        <v>1007</v>
      </c>
      <c r="JO11" s="7">
        <v>3892</v>
      </c>
      <c r="JP11" s="7">
        <v>4361</v>
      </c>
      <c r="JQ11" s="7">
        <v>281</v>
      </c>
      <c r="JR11" s="7">
        <v>328</v>
      </c>
      <c r="JS11" s="7">
        <v>1562</v>
      </c>
      <c r="JT11" s="7">
        <v>130</v>
      </c>
      <c r="JU11" s="151">
        <v>443.42312905603688</v>
      </c>
      <c r="JV11" s="151">
        <v>4584.3410900896451</v>
      </c>
      <c r="JW11" s="151">
        <v>81.047104211341605</v>
      </c>
      <c r="JX11" s="151">
        <v>7.1093951062580345</v>
      </c>
      <c r="JY11" s="7">
        <v>5151</v>
      </c>
      <c r="JZ11" s="7">
        <v>26473</v>
      </c>
      <c r="KA11" s="7">
        <v>18</v>
      </c>
      <c r="KB11" s="7">
        <v>107</v>
      </c>
      <c r="KC11" s="7">
        <v>0</v>
      </c>
      <c r="KD11" s="7">
        <v>0</v>
      </c>
      <c r="KE11" s="7">
        <v>0</v>
      </c>
      <c r="KF11" s="7">
        <v>0</v>
      </c>
      <c r="KG11" s="7">
        <v>30</v>
      </c>
      <c r="KH11" s="7">
        <v>3998</v>
      </c>
      <c r="KI11" s="7">
        <v>22048</v>
      </c>
      <c r="KJ11" s="7">
        <v>495</v>
      </c>
      <c r="KK11" s="7">
        <v>78</v>
      </c>
      <c r="KL11" s="7">
        <v>2183</v>
      </c>
      <c r="KM11" s="7">
        <v>22569</v>
      </c>
      <c r="KN11" s="7">
        <v>399</v>
      </c>
      <c r="KO11" s="7">
        <v>35</v>
      </c>
      <c r="KP11" s="7">
        <v>25186</v>
      </c>
      <c r="KQ11" s="7">
        <v>1386</v>
      </c>
      <c r="KR11" s="7">
        <v>3896</v>
      </c>
      <c r="KS11" s="7">
        <v>3896</v>
      </c>
      <c r="KT11" s="7">
        <v>712</v>
      </c>
      <c r="KU11" s="7">
        <v>274</v>
      </c>
      <c r="KV11" s="7">
        <v>724</v>
      </c>
      <c r="KW11" s="7">
        <v>0</v>
      </c>
      <c r="KX11" s="7">
        <v>633</v>
      </c>
      <c r="KY11" s="7">
        <v>273</v>
      </c>
      <c r="KZ11" s="7">
        <v>686</v>
      </c>
      <c r="LA11" s="7">
        <v>0</v>
      </c>
      <c r="LB11" s="7">
        <v>2425</v>
      </c>
      <c r="LC11" s="7">
        <v>2297</v>
      </c>
      <c r="LD11" s="7">
        <v>1365</v>
      </c>
      <c r="LE11" s="7">
        <v>2094</v>
      </c>
      <c r="LF11" s="7">
        <v>16915</v>
      </c>
      <c r="LG11" s="7">
        <v>34</v>
      </c>
      <c r="LH11" s="7">
        <v>3642</v>
      </c>
      <c r="LI11" s="7">
        <v>458</v>
      </c>
      <c r="LJ11" s="7">
        <v>1457</v>
      </c>
      <c r="LK11" s="7">
        <v>3</v>
      </c>
      <c r="LL11" s="7">
        <v>944</v>
      </c>
      <c r="LM11" s="7">
        <v>371</v>
      </c>
      <c r="LN11" s="7">
        <v>27</v>
      </c>
      <c r="LO11" s="7">
        <v>3659</v>
      </c>
      <c r="LP11" s="7">
        <v>444</v>
      </c>
      <c r="LQ11" s="7">
        <v>1349</v>
      </c>
      <c r="LR11" s="7">
        <v>3</v>
      </c>
      <c r="LS11" s="7">
        <v>901</v>
      </c>
      <c r="LT11" s="7">
        <v>293</v>
      </c>
      <c r="LU11" s="232">
        <v>5.5646521016000001</v>
      </c>
      <c r="LV11" s="232">
        <v>5.8287613292999998</v>
      </c>
      <c r="LW11" s="232">
        <v>5.3096043879000003</v>
      </c>
      <c r="LX11" s="7">
        <v>5407</v>
      </c>
      <c r="LY11" s="7">
        <v>26619</v>
      </c>
    </row>
    <row r="12" spans="1:16384" x14ac:dyDescent="0.25">
      <c r="A12" t="s">
        <v>54</v>
      </c>
      <c r="B12" t="s">
        <v>55</v>
      </c>
      <c r="C12" s="7">
        <v>37989</v>
      </c>
      <c r="D12">
        <v>40042</v>
      </c>
      <c r="F12">
        <f t="shared" si="0"/>
        <v>-40042</v>
      </c>
      <c r="G12">
        <f t="shared" si="1"/>
        <v>-100</v>
      </c>
      <c r="H12">
        <v>19534</v>
      </c>
      <c r="I12">
        <v>20508</v>
      </c>
      <c r="J12">
        <v>27800</v>
      </c>
      <c r="K12">
        <v>12242</v>
      </c>
      <c r="L12" s="7">
        <v>1888</v>
      </c>
      <c r="M12" s="7">
        <v>1958</v>
      </c>
      <c r="N12" s="7">
        <v>2106</v>
      </c>
      <c r="O12" s="7">
        <v>2013</v>
      </c>
      <c r="P12" s="7">
        <v>1407</v>
      </c>
      <c r="Q12" s="7">
        <v>1276</v>
      </c>
      <c r="R12" s="7">
        <v>1316</v>
      </c>
      <c r="S12" s="7">
        <v>1348</v>
      </c>
      <c r="T12" s="7">
        <v>1159</v>
      </c>
      <c r="U12" s="7">
        <v>1129</v>
      </c>
      <c r="V12" s="7">
        <v>916</v>
      </c>
      <c r="W12" s="7">
        <v>818</v>
      </c>
      <c r="X12" s="7">
        <v>672</v>
      </c>
      <c r="Y12" s="7">
        <v>1508</v>
      </c>
      <c r="Z12" s="7">
        <v>20</v>
      </c>
      <c r="AA12" s="7">
        <v>1751</v>
      </c>
      <c r="AB12" s="7">
        <v>1950</v>
      </c>
      <c r="AC12" s="7">
        <v>1971</v>
      </c>
      <c r="AD12" s="7">
        <v>1969</v>
      </c>
      <c r="AE12" s="7">
        <v>1531</v>
      </c>
      <c r="AF12" s="7">
        <v>1470</v>
      </c>
      <c r="AG12" s="7">
        <v>1565</v>
      </c>
      <c r="AH12" s="7">
        <v>1534</v>
      </c>
      <c r="AI12" s="7">
        <v>1324</v>
      </c>
      <c r="AJ12" s="7">
        <v>1164</v>
      </c>
      <c r="AK12" s="7">
        <v>1025</v>
      </c>
      <c r="AL12" s="7">
        <v>811</v>
      </c>
      <c r="AM12" s="7">
        <v>690</v>
      </c>
      <c r="AN12" s="7">
        <v>1737</v>
      </c>
      <c r="AO12" s="7">
        <v>16</v>
      </c>
      <c r="AP12">
        <v>37286</v>
      </c>
      <c r="AQ12">
        <v>2600</v>
      </c>
      <c r="AR12">
        <v>55</v>
      </c>
      <c r="AS12">
        <v>53</v>
      </c>
      <c r="AT12">
        <v>48</v>
      </c>
      <c r="AU12" s="7">
        <v>247</v>
      </c>
      <c r="AV12" s="7">
        <v>127</v>
      </c>
      <c r="AW12" s="7">
        <v>120</v>
      </c>
      <c r="AX12" s="7">
        <v>464</v>
      </c>
      <c r="AY12" s="7">
        <v>247</v>
      </c>
      <c r="AZ12" s="7">
        <v>55</v>
      </c>
      <c r="BA12" s="7">
        <v>192</v>
      </c>
      <c r="BB12" s="7">
        <v>1</v>
      </c>
      <c r="BC12" s="7">
        <v>1</v>
      </c>
      <c r="BD12" s="7">
        <v>4</v>
      </c>
      <c r="BE12" s="7">
        <v>2</v>
      </c>
      <c r="BF12" s="7">
        <v>2</v>
      </c>
      <c r="BG12" s="7">
        <v>1</v>
      </c>
      <c r="BH12" s="7">
        <v>5</v>
      </c>
      <c r="BI12" s="7">
        <v>2</v>
      </c>
      <c r="BJ12" s="7">
        <v>6</v>
      </c>
      <c r="BK12" s="7">
        <v>4</v>
      </c>
      <c r="BL12" s="7">
        <v>8</v>
      </c>
      <c r="BM12" s="7">
        <v>8</v>
      </c>
      <c r="BN12" s="7">
        <v>10</v>
      </c>
      <c r="BO12" s="7">
        <v>6</v>
      </c>
      <c r="BP12" s="7">
        <v>9</v>
      </c>
      <c r="BQ12" s="7">
        <v>9</v>
      </c>
      <c r="BR12" s="7">
        <v>8</v>
      </c>
      <c r="BS12" s="7">
        <v>12</v>
      </c>
      <c r="BT12" s="7">
        <v>15</v>
      </c>
      <c r="BU12" s="7">
        <v>12</v>
      </c>
      <c r="BV12" s="7">
        <v>8</v>
      </c>
      <c r="BW12" s="7">
        <v>7</v>
      </c>
      <c r="BX12" s="7">
        <v>11</v>
      </c>
      <c r="BY12" s="7">
        <v>12</v>
      </c>
      <c r="BZ12" s="7">
        <v>6</v>
      </c>
      <c r="CA12" s="7">
        <v>14</v>
      </c>
      <c r="CB12" s="7">
        <v>34</v>
      </c>
      <c r="CC12" s="7">
        <v>30</v>
      </c>
      <c r="CD12" s="7">
        <v>100</v>
      </c>
      <c r="CE12" s="7">
        <v>110</v>
      </c>
      <c r="CF12" s="7">
        <v>1</v>
      </c>
      <c r="CG12" s="7">
        <v>1</v>
      </c>
      <c r="CH12" s="7">
        <v>8204</v>
      </c>
      <c r="CI12" s="7">
        <v>3071</v>
      </c>
      <c r="CJ12" s="7">
        <v>30480</v>
      </c>
      <c r="CK12" s="7">
        <v>9489</v>
      </c>
      <c r="CL12" s="7">
        <v>1201</v>
      </c>
      <c r="CM12" s="7">
        <v>2160</v>
      </c>
      <c r="CN12" s="7">
        <v>2372</v>
      </c>
      <c r="CO12" s="7">
        <v>2627</v>
      </c>
      <c r="CP12" s="7">
        <v>1695</v>
      </c>
      <c r="CQ12" s="7">
        <v>1220</v>
      </c>
      <c r="CR12" s="7">
        <v>7679</v>
      </c>
      <c r="CS12" s="7">
        <v>15886</v>
      </c>
      <c r="CT12" s="7">
        <v>2815</v>
      </c>
      <c r="CU12" s="7">
        <v>579</v>
      </c>
      <c r="CV12" s="7">
        <v>438</v>
      </c>
      <c r="CW12" s="7">
        <v>1151</v>
      </c>
      <c r="CX12" s="7">
        <v>120</v>
      </c>
      <c r="CY12" s="7">
        <v>25640</v>
      </c>
      <c r="CZ12" s="7">
        <v>12634</v>
      </c>
      <c r="DA12" s="7">
        <v>318</v>
      </c>
      <c r="DB12" s="7">
        <v>1201</v>
      </c>
      <c r="DC12" s="7">
        <v>65</v>
      </c>
      <c r="DD12" s="7">
        <v>2938</v>
      </c>
      <c r="DE12" s="7">
        <v>1281</v>
      </c>
      <c r="DF12" s="7">
        <v>8023</v>
      </c>
      <c r="DG12" s="7">
        <v>3353</v>
      </c>
      <c r="DH12" s="7">
        <v>0</v>
      </c>
      <c r="DI12" s="7">
        <v>24447</v>
      </c>
      <c r="DJ12" s="7">
        <v>0</v>
      </c>
      <c r="DK12" s="7">
        <v>0</v>
      </c>
      <c r="DL12" s="7">
        <v>245</v>
      </c>
      <c r="DM12" s="7">
        <v>4</v>
      </c>
      <c r="DN12" s="7">
        <v>6</v>
      </c>
      <c r="DO12" s="7">
        <v>1</v>
      </c>
      <c r="DP12" s="7">
        <v>0</v>
      </c>
      <c r="DQ12" s="7">
        <v>1</v>
      </c>
      <c r="DR12" s="7">
        <v>0</v>
      </c>
      <c r="DS12" s="7">
        <v>0</v>
      </c>
      <c r="DT12" s="7">
        <v>499</v>
      </c>
      <c r="DU12" s="7">
        <v>554</v>
      </c>
      <c r="DV12" s="7">
        <v>280</v>
      </c>
      <c r="DW12" s="7">
        <v>279</v>
      </c>
      <c r="DX12" s="7">
        <v>94</v>
      </c>
      <c r="DY12" s="7">
        <v>84</v>
      </c>
      <c r="DZ12" s="7">
        <v>104</v>
      </c>
      <c r="EA12" s="7">
        <v>79</v>
      </c>
      <c r="EB12" s="7">
        <v>30</v>
      </c>
      <c r="EC12" s="7">
        <v>40</v>
      </c>
      <c r="ED12" s="7">
        <v>33</v>
      </c>
      <c r="EE12" s="7">
        <v>20</v>
      </c>
      <c r="EF12" s="7">
        <v>98</v>
      </c>
      <c r="EG12" s="7">
        <v>94</v>
      </c>
      <c r="EH12" s="7">
        <v>690</v>
      </c>
      <c r="EI12" s="7">
        <v>356</v>
      </c>
      <c r="EJ12" s="7">
        <v>112</v>
      </c>
      <c r="EK12" s="7">
        <v>94</v>
      </c>
      <c r="EL12" s="7">
        <v>41</v>
      </c>
      <c r="EM12" s="7">
        <v>30</v>
      </c>
      <c r="EN12" s="7">
        <v>110</v>
      </c>
      <c r="EO12" s="7">
        <v>11146</v>
      </c>
      <c r="EP12" s="7">
        <v>10852</v>
      </c>
      <c r="EQ12" s="7">
        <v>294</v>
      </c>
      <c r="ER12" s="7">
        <v>3606</v>
      </c>
      <c r="ES12" s="7">
        <v>4723</v>
      </c>
      <c r="ET12" s="7">
        <v>4635</v>
      </c>
      <c r="EU12" s="7">
        <v>88</v>
      </c>
      <c r="EV12" s="7">
        <v>11245</v>
      </c>
      <c r="EW12" s="134">
        <v>24.890858148</v>
      </c>
      <c r="EX12" s="134">
        <v>15.990095783999999</v>
      </c>
      <c r="EY12" s="134">
        <v>21.372255163999998</v>
      </c>
      <c r="EZ12" s="134">
        <v>37.531765166</v>
      </c>
      <c r="FA12" s="134">
        <v>0.21502573790000001</v>
      </c>
      <c r="FB12" s="7">
        <v>1402</v>
      </c>
      <c r="FC12" s="7">
        <v>5921</v>
      </c>
      <c r="FD12" s="7">
        <v>706</v>
      </c>
      <c r="FE12" s="7">
        <v>2908</v>
      </c>
      <c r="FF12" s="7">
        <v>51</v>
      </c>
      <c r="FG12" s="7">
        <v>2735</v>
      </c>
      <c r="FH12" s="7">
        <v>2125</v>
      </c>
      <c r="FI12" s="134">
        <v>31.374209943</v>
      </c>
      <c r="FJ12" s="134">
        <v>43.852218675000003</v>
      </c>
      <c r="FK12" s="134">
        <v>23.10549293</v>
      </c>
      <c r="FL12" s="134">
        <v>1.6680784518</v>
      </c>
      <c r="FM12" s="151">
        <v>11423</v>
      </c>
      <c r="FN12" s="151">
        <v>8089</v>
      </c>
      <c r="FO12" s="7">
        <v>3078</v>
      </c>
      <c r="FP12" s="7">
        <v>695</v>
      </c>
      <c r="FQ12" s="7">
        <v>272</v>
      </c>
      <c r="FR12" s="7">
        <v>43</v>
      </c>
      <c r="FS12" s="7">
        <v>7241</v>
      </c>
      <c r="FT12" s="7">
        <v>45</v>
      </c>
      <c r="FU12" s="7">
        <v>105</v>
      </c>
      <c r="FV12" s="7">
        <v>22</v>
      </c>
      <c r="FW12" s="7">
        <v>13127</v>
      </c>
      <c r="FX12" s="7">
        <v>7350</v>
      </c>
      <c r="FY12" s="7">
        <v>3151</v>
      </c>
      <c r="FZ12" s="7">
        <v>875</v>
      </c>
      <c r="GA12" s="7">
        <v>364</v>
      </c>
      <c r="GB12" s="7">
        <v>41</v>
      </c>
      <c r="GC12" s="7">
        <v>8590</v>
      </c>
      <c r="GD12" s="7">
        <v>31</v>
      </c>
      <c r="GE12" s="7">
        <v>147</v>
      </c>
      <c r="GF12" s="7">
        <v>31</v>
      </c>
      <c r="GG12" s="7">
        <v>1145</v>
      </c>
      <c r="GH12" s="7">
        <v>1230</v>
      </c>
      <c r="GI12" s="7">
        <v>1338</v>
      </c>
      <c r="GJ12" s="7">
        <v>1191</v>
      </c>
      <c r="GK12" s="7">
        <v>675</v>
      </c>
      <c r="GL12" s="7">
        <v>637</v>
      </c>
      <c r="GM12" s="7">
        <v>708</v>
      </c>
      <c r="GN12" s="7">
        <v>744</v>
      </c>
      <c r="GO12" s="7">
        <v>665</v>
      </c>
      <c r="GP12" s="7">
        <v>664</v>
      </c>
      <c r="GQ12" s="7">
        <v>524</v>
      </c>
      <c r="GR12" s="7">
        <v>474</v>
      </c>
      <c r="GS12" s="7">
        <v>408</v>
      </c>
      <c r="GT12" s="7">
        <v>331</v>
      </c>
      <c r="GU12" s="7">
        <v>295</v>
      </c>
      <c r="GV12" s="7">
        <v>183</v>
      </c>
      <c r="GW12" s="7">
        <v>118</v>
      </c>
      <c r="GX12" s="7">
        <v>88</v>
      </c>
      <c r="GY12" s="7">
        <v>1106</v>
      </c>
      <c r="GZ12" s="7">
        <v>1224</v>
      </c>
      <c r="HA12" s="7">
        <v>1256</v>
      </c>
      <c r="HB12" s="7">
        <v>1222</v>
      </c>
      <c r="HC12" s="7">
        <v>867</v>
      </c>
      <c r="HD12" s="7">
        <v>919</v>
      </c>
      <c r="HE12" s="7">
        <v>1024</v>
      </c>
      <c r="HF12" s="7">
        <v>974</v>
      </c>
      <c r="HG12" s="7">
        <v>885</v>
      </c>
      <c r="HH12" s="7">
        <v>757</v>
      </c>
      <c r="HI12" s="7">
        <v>667</v>
      </c>
      <c r="HJ12" s="7">
        <v>552</v>
      </c>
      <c r="HK12" s="7">
        <v>474</v>
      </c>
      <c r="HL12" s="7">
        <v>383</v>
      </c>
      <c r="HM12" s="7">
        <v>364</v>
      </c>
      <c r="HN12" s="7">
        <v>228</v>
      </c>
      <c r="HO12" s="7">
        <v>118</v>
      </c>
      <c r="HP12" s="7">
        <v>106</v>
      </c>
      <c r="HQ12" s="7">
        <v>11099</v>
      </c>
      <c r="HR12" s="7">
        <v>1</v>
      </c>
      <c r="HS12" s="7">
        <v>94</v>
      </c>
      <c r="HT12" s="7">
        <v>2</v>
      </c>
      <c r="HU12" s="7">
        <v>5</v>
      </c>
      <c r="HV12" s="7">
        <v>1</v>
      </c>
      <c r="HW12" s="7">
        <v>1</v>
      </c>
      <c r="HX12" s="7">
        <v>82</v>
      </c>
      <c r="HY12" s="7">
        <v>1199</v>
      </c>
      <c r="HZ12" s="7">
        <v>2159</v>
      </c>
      <c r="IA12" s="7">
        <v>2372</v>
      </c>
      <c r="IB12" s="7">
        <v>2626</v>
      </c>
      <c r="IC12" s="7">
        <v>1692</v>
      </c>
      <c r="ID12" s="7">
        <v>701</v>
      </c>
      <c r="IE12" s="7">
        <v>280</v>
      </c>
      <c r="IF12" s="7">
        <v>118</v>
      </c>
      <c r="IG12" s="7">
        <v>121</v>
      </c>
      <c r="IH12" s="7">
        <v>1654</v>
      </c>
      <c r="II12" s="7">
        <v>2890</v>
      </c>
      <c r="IJ12" s="7">
        <v>3266</v>
      </c>
      <c r="IK12" s="7">
        <v>2113</v>
      </c>
      <c r="IL12" s="7">
        <v>862</v>
      </c>
      <c r="IM12" s="7">
        <v>301</v>
      </c>
      <c r="IN12" s="7">
        <v>101</v>
      </c>
      <c r="IO12" s="7">
        <v>35</v>
      </c>
      <c r="IP12" s="7">
        <v>29</v>
      </c>
      <c r="IQ12" s="7">
        <v>6054</v>
      </c>
      <c r="IR12" s="7">
        <v>4074</v>
      </c>
      <c r="IS12" s="7">
        <v>956</v>
      </c>
      <c r="IT12" s="7">
        <v>148</v>
      </c>
      <c r="IU12" s="7">
        <v>23</v>
      </c>
      <c r="IV12" s="7">
        <v>5058</v>
      </c>
      <c r="IW12" s="7">
        <v>1796</v>
      </c>
      <c r="IX12" s="7">
        <v>972</v>
      </c>
      <c r="IY12" s="7">
        <v>301</v>
      </c>
      <c r="IZ12" s="7">
        <v>13</v>
      </c>
      <c r="JA12" s="7">
        <v>3110</v>
      </c>
      <c r="JB12" s="7">
        <v>7284</v>
      </c>
      <c r="JC12" s="7">
        <v>3236</v>
      </c>
      <c r="JD12" s="7">
        <v>71</v>
      </c>
      <c r="JE12" s="7">
        <v>44</v>
      </c>
      <c r="JF12" s="151">
        <v>10648.471249861068</v>
      </c>
      <c r="JG12" s="151">
        <v>602.5520448686882</v>
      </c>
      <c r="JH12" s="7">
        <v>500</v>
      </c>
      <c r="JI12" s="7">
        <v>9581</v>
      </c>
      <c r="JJ12" s="7">
        <v>1166</v>
      </c>
      <c r="JK12" s="7">
        <v>21</v>
      </c>
      <c r="JL12" s="7">
        <v>8905</v>
      </c>
      <c r="JM12" s="7">
        <v>5768</v>
      </c>
      <c r="JN12" s="7">
        <v>2154</v>
      </c>
      <c r="JO12" s="7">
        <v>7635</v>
      </c>
      <c r="JP12" s="7">
        <v>10064</v>
      </c>
      <c r="JQ12" s="7">
        <v>1256</v>
      </c>
      <c r="JR12" s="7">
        <v>2155</v>
      </c>
      <c r="JS12" s="7">
        <v>5221</v>
      </c>
      <c r="JT12" s="7">
        <v>631</v>
      </c>
      <c r="JU12" s="151">
        <v>3589.3596530473728</v>
      </c>
      <c r="JV12" s="151">
        <v>7004.1033342905712</v>
      </c>
      <c r="JW12" s="151">
        <v>37.236362323345901</v>
      </c>
      <c r="JX12" s="151">
        <v>17.771900199778724</v>
      </c>
      <c r="JY12" s="7">
        <v>11043</v>
      </c>
      <c r="JZ12" s="7">
        <v>39442</v>
      </c>
      <c r="KA12" s="7">
        <v>7</v>
      </c>
      <c r="KB12" s="7">
        <v>264</v>
      </c>
      <c r="KC12" s="7">
        <v>6</v>
      </c>
      <c r="KD12" s="7">
        <v>17</v>
      </c>
      <c r="KE12" s="7">
        <v>5</v>
      </c>
      <c r="KF12" s="7">
        <v>1</v>
      </c>
      <c r="KG12" s="7">
        <v>257</v>
      </c>
      <c r="KH12" s="7">
        <v>1795</v>
      </c>
      <c r="KI12" s="7">
        <v>34082</v>
      </c>
      <c r="KJ12" s="7">
        <v>4012</v>
      </c>
      <c r="KK12" s="7">
        <v>57</v>
      </c>
      <c r="KL12" s="7">
        <v>12724</v>
      </c>
      <c r="KM12" s="7">
        <v>24829</v>
      </c>
      <c r="KN12" s="7">
        <v>132</v>
      </c>
      <c r="KO12" s="7">
        <v>63</v>
      </c>
      <c r="KP12" s="7">
        <v>37748</v>
      </c>
      <c r="KQ12" s="7">
        <v>2136</v>
      </c>
      <c r="KR12" s="7">
        <v>5881</v>
      </c>
      <c r="KS12" s="7">
        <v>5881</v>
      </c>
      <c r="KT12" s="7">
        <v>1084</v>
      </c>
      <c r="KU12" s="7">
        <v>403</v>
      </c>
      <c r="KV12" s="7">
        <v>1087</v>
      </c>
      <c r="KW12" s="7">
        <v>0</v>
      </c>
      <c r="KX12" s="7">
        <v>1056</v>
      </c>
      <c r="KY12" s="7">
        <v>356</v>
      </c>
      <c r="KZ12" s="7">
        <v>1064</v>
      </c>
      <c r="LA12" s="7">
        <v>5</v>
      </c>
      <c r="LB12" s="7">
        <v>3100</v>
      </c>
      <c r="LC12" s="7">
        <v>3007</v>
      </c>
      <c r="LD12" s="7">
        <v>1391</v>
      </c>
      <c r="LE12" s="7">
        <v>2096</v>
      </c>
      <c r="LF12" s="7">
        <v>28382</v>
      </c>
      <c r="LG12" s="7">
        <v>42</v>
      </c>
      <c r="LH12" s="7">
        <v>4847</v>
      </c>
      <c r="LI12" s="7">
        <v>823</v>
      </c>
      <c r="LJ12" s="7">
        <v>2399</v>
      </c>
      <c r="LK12" s="7">
        <v>24</v>
      </c>
      <c r="LL12" s="7">
        <v>2554</v>
      </c>
      <c r="LM12" s="7">
        <v>1611</v>
      </c>
      <c r="LN12" s="7">
        <v>51</v>
      </c>
      <c r="LO12" s="7">
        <v>5639</v>
      </c>
      <c r="LP12" s="7">
        <v>738</v>
      </c>
      <c r="LQ12" s="7">
        <v>2657</v>
      </c>
      <c r="LR12" s="7">
        <v>70</v>
      </c>
      <c r="LS12" s="7">
        <v>2418</v>
      </c>
      <c r="LT12" s="7">
        <v>1386</v>
      </c>
      <c r="LU12" s="232">
        <v>7.2698345354000002</v>
      </c>
      <c r="LV12" s="232">
        <v>7.5777909298999999</v>
      </c>
      <c r="LW12" s="232">
        <v>6.9879460959999999</v>
      </c>
      <c r="LX12" s="7">
        <v>11268</v>
      </c>
      <c r="LY12" s="7">
        <v>39946</v>
      </c>
    </row>
    <row r="13" spans="1:16384" x14ac:dyDescent="0.25">
      <c r="A13" t="s">
        <v>56</v>
      </c>
      <c r="B13" t="s">
        <v>57</v>
      </c>
      <c r="C13" s="7">
        <v>6673</v>
      </c>
      <c r="D13">
        <v>7623</v>
      </c>
      <c r="F13">
        <f t="shared" si="0"/>
        <v>-7623</v>
      </c>
      <c r="G13">
        <f t="shared" si="1"/>
        <v>-100</v>
      </c>
      <c r="H13">
        <v>3856</v>
      </c>
      <c r="I13">
        <v>3767</v>
      </c>
      <c r="J13">
        <v>0</v>
      </c>
      <c r="K13">
        <v>7623</v>
      </c>
      <c r="L13" s="7">
        <v>538</v>
      </c>
      <c r="M13" s="7">
        <v>496</v>
      </c>
      <c r="N13" s="7">
        <v>522</v>
      </c>
      <c r="O13" s="7">
        <v>471</v>
      </c>
      <c r="P13" s="7">
        <v>332</v>
      </c>
      <c r="Q13" s="7">
        <v>259</v>
      </c>
      <c r="R13" s="7">
        <v>214</v>
      </c>
      <c r="S13" s="7">
        <v>191</v>
      </c>
      <c r="T13" s="7">
        <v>155</v>
      </c>
      <c r="U13" s="7">
        <v>148</v>
      </c>
      <c r="V13" s="7">
        <v>109</v>
      </c>
      <c r="W13" s="7">
        <v>115</v>
      </c>
      <c r="X13" s="7">
        <v>85</v>
      </c>
      <c r="Y13" s="7">
        <v>215</v>
      </c>
      <c r="Z13" s="7">
        <v>6</v>
      </c>
      <c r="AA13" s="7">
        <v>517</v>
      </c>
      <c r="AB13" s="7">
        <v>468</v>
      </c>
      <c r="AC13" s="7">
        <v>476</v>
      </c>
      <c r="AD13" s="7">
        <v>442</v>
      </c>
      <c r="AE13" s="7">
        <v>302</v>
      </c>
      <c r="AF13" s="7">
        <v>281</v>
      </c>
      <c r="AG13" s="7">
        <v>225</v>
      </c>
      <c r="AH13" s="7">
        <v>200</v>
      </c>
      <c r="AI13" s="7">
        <v>151</v>
      </c>
      <c r="AJ13" s="7">
        <v>139</v>
      </c>
      <c r="AK13" s="7">
        <v>122</v>
      </c>
      <c r="AL13" s="7">
        <v>113</v>
      </c>
      <c r="AM13" s="7">
        <v>85</v>
      </c>
      <c r="AN13" s="7">
        <v>239</v>
      </c>
      <c r="AO13" s="7">
        <v>7</v>
      </c>
      <c r="AP13">
        <v>7509</v>
      </c>
      <c r="AQ13">
        <v>39</v>
      </c>
      <c r="AR13">
        <v>15</v>
      </c>
      <c r="AS13">
        <v>8</v>
      </c>
      <c r="AT13">
        <v>52</v>
      </c>
      <c r="AU13" s="7">
        <v>85</v>
      </c>
      <c r="AV13" s="7">
        <v>48</v>
      </c>
      <c r="AW13" s="7">
        <v>37</v>
      </c>
      <c r="AX13" s="7">
        <v>56</v>
      </c>
      <c r="AY13" s="7">
        <v>85</v>
      </c>
      <c r="AZ13" s="7">
        <v>85</v>
      </c>
      <c r="BA13" s="7">
        <v>0</v>
      </c>
      <c r="BB13" s="7">
        <v>0</v>
      </c>
      <c r="BC13" s="7">
        <v>1</v>
      </c>
      <c r="BD13" s="7">
        <v>1</v>
      </c>
      <c r="BE13" s="7">
        <v>1</v>
      </c>
      <c r="BF13" s="7">
        <v>0</v>
      </c>
      <c r="BG13" s="7">
        <v>4</v>
      </c>
      <c r="BH13" s="7">
        <v>9</v>
      </c>
      <c r="BI13" s="7">
        <v>5</v>
      </c>
      <c r="BJ13" s="7">
        <v>2</v>
      </c>
      <c r="BK13" s="7">
        <v>2</v>
      </c>
      <c r="BL13" s="7">
        <v>2</v>
      </c>
      <c r="BM13" s="7">
        <v>0</v>
      </c>
      <c r="BN13" s="7">
        <v>2</v>
      </c>
      <c r="BO13" s="7">
        <v>2</v>
      </c>
      <c r="BP13" s="7">
        <v>1</v>
      </c>
      <c r="BQ13" s="7">
        <v>2</v>
      </c>
      <c r="BR13" s="7">
        <v>3</v>
      </c>
      <c r="BS13" s="7">
        <v>2</v>
      </c>
      <c r="BT13" s="7">
        <v>2</v>
      </c>
      <c r="BU13" s="7">
        <v>2</v>
      </c>
      <c r="BV13" s="7">
        <v>3</v>
      </c>
      <c r="BW13" s="7">
        <v>0</v>
      </c>
      <c r="BX13" s="7">
        <v>1</v>
      </c>
      <c r="BY13" s="7">
        <v>5</v>
      </c>
      <c r="BZ13" s="7">
        <v>3</v>
      </c>
      <c r="CA13" s="7">
        <v>1</v>
      </c>
      <c r="CB13" s="7">
        <v>19</v>
      </c>
      <c r="CC13" s="7">
        <v>10</v>
      </c>
      <c r="CD13" s="7">
        <v>46</v>
      </c>
      <c r="CE13" s="7">
        <v>34</v>
      </c>
      <c r="CF13" s="7">
        <v>0</v>
      </c>
      <c r="CG13" s="7">
        <v>0</v>
      </c>
      <c r="CH13" s="7">
        <v>1135</v>
      </c>
      <c r="CI13" s="7">
        <v>186</v>
      </c>
      <c r="CJ13" s="7">
        <v>6778</v>
      </c>
      <c r="CK13" s="7">
        <v>833</v>
      </c>
      <c r="CL13" s="7">
        <v>42</v>
      </c>
      <c r="CM13" s="7">
        <v>82</v>
      </c>
      <c r="CN13" s="7">
        <v>134</v>
      </c>
      <c r="CO13" s="7">
        <v>197</v>
      </c>
      <c r="CP13" s="7">
        <v>221</v>
      </c>
      <c r="CQ13" s="7">
        <v>645</v>
      </c>
      <c r="CR13" s="7">
        <v>1067</v>
      </c>
      <c r="CS13" s="7">
        <v>3862</v>
      </c>
      <c r="CT13" s="7">
        <v>815</v>
      </c>
      <c r="CU13" s="7">
        <v>258</v>
      </c>
      <c r="CV13" s="7">
        <v>84</v>
      </c>
      <c r="CW13" s="7">
        <v>157</v>
      </c>
      <c r="CX13" s="7">
        <v>5</v>
      </c>
      <c r="CY13" s="7">
        <v>3946</v>
      </c>
      <c r="CZ13" s="7">
        <v>3286</v>
      </c>
      <c r="DA13" s="7">
        <v>23</v>
      </c>
      <c r="DB13" s="7">
        <v>42</v>
      </c>
      <c r="DC13" s="7">
        <v>0</v>
      </c>
      <c r="DD13" s="7">
        <v>2502</v>
      </c>
      <c r="DE13" s="7">
        <v>1781</v>
      </c>
      <c r="DF13" s="7">
        <v>3340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24</v>
      </c>
      <c r="DM13" s="7">
        <v>5</v>
      </c>
      <c r="DN13" s="7">
        <v>5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27</v>
      </c>
      <c r="DU13" s="7">
        <v>30</v>
      </c>
      <c r="DV13" s="7">
        <v>25</v>
      </c>
      <c r="DW13" s="7">
        <v>21</v>
      </c>
      <c r="DX13" s="7">
        <v>19</v>
      </c>
      <c r="DY13" s="7">
        <v>11</v>
      </c>
      <c r="DZ13" s="7">
        <v>15</v>
      </c>
      <c r="EA13" s="7">
        <v>9</v>
      </c>
      <c r="EB13" s="7">
        <v>4</v>
      </c>
      <c r="EC13" s="7">
        <v>4</v>
      </c>
      <c r="ED13" s="7">
        <v>4</v>
      </c>
      <c r="EE13" s="7">
        <v>3</v>
      </c>
      <c r="EF13" s="7">
        <v>6</v>
      </c>
      <c r="EG13" s="7">
        <v>7</v>
      </c>
      <c r="EH13" s="7">
        <v>49</v>
      </c>
      <c r="EI13" s="7">
        <v>35</v>
      </c>
      <c r="EJ13" s="7">
        <v>19</v>
      </c>
      <c r="EK13" s="7">
        <v>18</v>
      </c>
      <c r="EL13" s="7">
        <v>8</v>
      </c>
      <c r="EM13" s="7">
        <v>5</v>
      </c>
      <c r="EN13" s="7">
        <v>5</v>
      </c>
      <c r="EO13" s="7">
        <v>2018</v>
      </c>
      <c r="EP13" s="7">
        <v>1984</v>
      </c>
      <c r="EQ13" s="7">
        <v>34</v>
      </c>
      <c r="ER13" s="7">
        <v>583</v>
      </c>
      <c r="ES13" s="7">
        <v>170</v>
      </c>
      <c r="ET13" s="7">
        <v>170</v>
      </c>
      <c r="EU13" s="7">
        <v>0</v>
      </c>
      <c r="EV13" s="7">
        <v>2413</v>
      </c>
      <c r="EW13" s="134">
        <v>90.227464194999996</v>
      </c>
      <c r="EX13" s="134">
        <v>2.1903959562000002</v>
      </c>
      <c r="EY13" s="134">
        <v>1.4321819713999999</v>
      </c>
      <c r="EZ13" s="134">
        <v>5.3074978938999999</v>
      </c>
      <c r="FA13" s="134">
        <v>0.84245998320000004</v>
      </c>
      <c r="FB13" s="7">
        <v>127</v>
      </c>
      <c r="FC13" s="7">
        <v>1524</v>
      </c>
      <c r="FD13" s="7">
        <v>54</v>
      </c>
      <c r="FE13" s="7">
        <v>347</v>
      </c>
      <c r="FF13" s="7">
        <v>0</v>
      </c>
      <c r="FG13" s="7">
        <v>98</v>
      </c>
      <c r="FH13" s="7">
        <v>35</v>
      </c>
      <c r="FI13" s="134">
        <v>92.080876157999995</v>
      </c>
      <c r="FJ13" s="134">
        <v>2.2746419544999998</v>
      </c>
      <c r="FK13" s="134">
        <v>4.3807919124000003</v>
      </c>
      <c r="FL13" s="134">
        <v>1.2636899747000001</v>
      </c>
      <c r="FM13" s="151">
        <v>2784</v>
      </c>
      <c r="FN13" s="151">
        <v>1046</v>
      </c>
      <c r="FO13" s="7">
        <v>165</v>
      </c>
      <c r="FP13" s="7">
        <v>13</v>
      </c>
      <c r="FQ13" s="7">
        <v>20</v>
      </c>
      <c r="FR13" s="7">
        <v>0</v>
      </c>
      <c r="FS13" s="7">
        <v>2572</v>
      </c>
      <c r="FT13" s="7">
        <v>5</v>
      </c>
      <c r="FU13" s="7">
        <v>9</v>
      </c>
      <c r="FV13" s="7">
        <v>26</v>
      </c>
      <c r="FW13" s="7">
        <v>2869</v>
      </c>
      <c r="FX13" s="7">
        <v>874</v>
      </c>
      <c r="FY13" s="7">
        <v>159</v>
      </c>
      <c r="FZ13" s="7">
        <v>18</v>
      </c>
      <c r="GA13" s="7">
        <v>15</v>
      </c>
      <c r="GB13" s="7">
        <v>0</v>
      </c>
      <c r="GC13" s="7">
        <v>2664</v>
      </c>
      <c r="GD13" s="7">
        <v>3</v>
      </c>
      <c r="GE13" s="7">
        <v>10</v>
      </c>
      <c r="GF13" s="7">
        <v>24</v>
      </c>
      <c r="GG13" s="7">
        <v>347</v>
      </c>
      <c r="GH13" s="7">
        <v>374</v>
      </c>
      <c r="GI13" s="7">
        <v>424</v>
      </c>
      <c r="GJ13" s="7">
        <v>315</v>
      </c>
      <c r="GK13" s="7">
        <v>180</v>
      </c>
      <c r="GL13" s="7">
        <v>174</v>
      </c>
      <c r="GM13" s="7">
        <v>163</v>
      </c>
      <c r="GN13" s="7">
        <v>146</v>
      </c>
      <c r="GO13" s="7">
        <v>120</v>
      </c>
      <c r="GP13" s="7">
        <v>121</v>
      </c>
      <c r="GQ13" s="7">
        <v>76</v>
      </c>
      <c r="GR13" s="7">
        <v>88</v>
      </c>
      <c r="GS13" s="7">
        <v>65</v>
      </c>
      <c r="GT13" s="7">
        <v>62</v>
      </c>
      <c r="GU13" s="7">
        <v>51</v>
      </c>
      <c r="GV13" s="7">
        <v>37</v>
      </c>
      <c r="GW13" s="7">
        <v>20</v>
      </c>
      <c r="GX13" s="7">
        <v>21</v>
      </c>
      <c r="GY13" s="7">
        <v>339</v>
      </c>
      <c r="GZ13" s="7">
        <v>356</v>
      </c>
      <c r="HA13" s="7">
        <v>364</v>
      </c>
      <c r="HB13" s="7">
        <v>311</v>
      </c>
      <c r="HC13" s="7">
        <v>189</v>
      </c>
      <c r="HD13" s="7">
        <v>222</v>
      </c>
      <c r="HE13" s="7">
        <v>192</v>
      </c>
      <c r="HF13" s="7">
        <v>165</v>
      </c>
      <c r="HG13" s="7">
        <v>135</v>
      </c>
      <c r="HH13" s="7">
        <v>119</v>
      </c>
      <c r="HI13" s="7">
        <v>101</v>
      </c>
      <c r="HJ13" s="7">
        <v>89</v>
      </c>
      <c r="HK13" s="7">
        <v>75</v>
      </c>
      <c r="HL13" s="7">
        <v>62</v>
      </c>
      <c r="HM13" s="7">
        <v>55</v>
      </c>
      <c r="HN13" s="7">
        <v>48</v>
      </c>
      <c r="HO13" s="7">
        <v>22</v>
      </c>
      <c r="HP13" s="7">
        <v>24</v>
      </c>
      <c r="HQ13" s="7">
        <v>1317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8</v>
      </c>
      <c r="HY13" s="7">
        <v>42</v>
      </c>
      <c r="HZ13" s="7">
        <v>82</v>
      </c>
      <c r="IA13" s="7">
        <v>134</v>
      </c>
      <c r="IB13" s="7">
        <v>197</v>
      </c>
      <c r="IC13" s="7">
        <v>221</v>
      </c>
      <c r="ID13" s="7">
        <v>197</v>
      </c>
      <c r="IE13" s="7">
        <v>141</v>
      </c>
      <c r="IF13" s="7">
        <v>106</v>
      </c>
      <c r="IG13" s="7">
        <v>201</v>
      </c>
      <c r="IH13" s="7">
        <v>39</v>
      </c>
      <c r="II13" s="7">
        <v>449</v>
      </c>
      <c r="IJ13" s="7">
        <v>518</v>
      </c>
      <c r="IK13" s="7">
        <v>191</v>
      </c>
      <c r="IL13" s="7">
        <v>71</v>
      </c>
      <c r="IM13" s="7">
        <v>37</v>
      </c>
      <c r="IN13" s="7">
        <v>7</v>
      </c>
      <c r="IO13" s="7">
        <v>4</v>
      </c>
      <c r="IP13" s="7">
        <v>1</v>
      </c>
      <c r="IQ13" s="7">
        <v>584</v>
      </c>
      <c r="IR13" s="7">
        <v>504</v>
      </c>
      <c r="IS13" s="7">
        <v>168</v>
      </c>
      <c r="IT13" s="7">
        <v>45</v>
      </c>
      <c r="IU13" s="7">
        <v>17</v>
      </c>
      <c r="IV13" s="7">
        <v>113</v>
      </c>
      <c r="IW13" s="7">
        <v>499</v>
      </c>
      <c r="IX13" s="7">
        <v>1</v>
      </c>
      <c r="IY13" s="7">
        <v>15</v>
      </c>
      <c r="IZ13" s="7">
        <v>0</v>
      </c>
      <c r="JA13" s="7">
        <v>689</v>
      </c>
      <c r="JB13" s="7">
        <v>65</v>
      </c>
      <c r="JC13" s="7">
        <v>649</v>
      </c>
      <c r="JD13" s="7">
        <v>52</v>
      </c>
      <c r="JE13" s="7">
        <v>4</v>
      </c>
      <c r="JF13" s="151">
        <v>1304.5114295751277</v>
      </c>
      <c r="JG13" s="151">
        <v>13.711602306603925</v>
      </c>
      <c r="JH13" s="7">
        <v>141</v>
      </c>
      <c r="JI13" s="7">
        <v>1146</v>
      </c>
      <c r="JJ13" s="7">
        <v>33</v>
      </c>
      <c r="JK13" s="7">
        <v>1</v>
      </c>
      <c r="JL13" s="7">
        <v>427</v>
      </c>
      <c r="JM13" s="7">
        <v>196</v>
      </c>
      <c r="JN13" s="7">
        <v>110</v>
      </c>
      <c r="JO13" s="7">
        <v>997</v>
      </c>
      <c r="JP13" s="7">
        <v>791</v>
      </c>
      <c r="JQ13" s="7">
        <v>15</v>
      </c>
      <c r="JR13" s="7">
        <v>81</v>
      </c>
      <c r="JS13" s="7">
        <v>187</v>
      </c>
      <c r="JT13" s="7">
        <v>1</v>
      </c>
      <c r="JU13" s="151">
        <v>17.356458615954335</v>
      </c>
      <c r="JV13" s="151">
        <v>631.08083527609961</v>
      </c>
      <c r="JW13" s="151">
        <v>653.99136064915933</v>
      </c>
      <c r="JX13" s="151">
        <v>2.0827750339145203</v>
      </c>
      <c r="JY13" s="7">
        <v>1284</v>
      </c>
      <c r="JZ13" s="7">
        <v>7589</v>
      </c>
      <c r="KA13" s="7">
        <v>0</v>
      </c>
      <c r="KB13" s="7">
        <v>0</v>
      </c>
      <c r="KC13" s="7">
        <v>0</v>
      </c>
      <c r="KD13" s="7">
        <v>0</v>
      </c>
      <c r="KE13" s="7">
        <v>0</v>
      </c>
      <c r="KF13" s="7">
        <v>0</v>
      </c>
      <c r="KG13" s="7">
        <v>34</v>
      </c>
      <c r="KH13" s="7">
        <v>756</v>
      </c>
      <c r="KI13" s="7">
        <v>6640</v>
      </c>
      <c r="KJ13" s="7">
        <v>202</v>
      </c>
      <c r="KK13" s="7">
        <v>13</v>
      </c>
      <c r="KL13" s="7">
        <v>100</v>
      </c>
      <c r="KM13" s="7">
        <v>3636</v>
      </c>
      <c r="KN13" s="7">
        <v>3768</v>
      </c>
      <c r="KO13" s="7">
        <v>12</v>
      </c>
      <c r="KP13" s="7">
        <v>7516</v>
      </c>
      <c r="KQ13" s="7">
        <v>79</v>
      </c>
      <c r="KR13" s="7">
        <v>1197</v>
      </c>
      <c r="KS13" s="7">
        <v>1197</v>
      </c>
      <c r="KT13" s="7">
        <v>240</v>
      </c>
      <c r="KU13" s="7">
        <v>104</v>
      </c>
      <c r="KV13" s="7">
        <v>194</v>
      </c>
      <c r="KW13" s="7">
        <v>0</v>
      </c>
      <c r="KX13" s="7">
        <v>233</v>
      </c>
      <c r="KY13" s="7">
        <v>66</v>
      </c>
      <c r="KZ13" s="7">
        <v>204</v>
      </c>
      <c r="LA13" s="7">
        <v>0</v>
      </c>
      <c r="LB13" s="7">
        <v>743</v>
      </c>
      <c r="LC13" s="7">
        <v>700</v>
      </c>
      <c r="LD13" s="7">
        <v>177</v>
      </c>
      <c r="LE13" s="7">
        <v>427</v>
      </c>
      <c r="LF13" s="7">
        <v>4593</v>
      </c>
      <c r="LG13" s="7">
        <v>6</v>
      </c>
      <c r="LH13" s="7">
        <v>1489</v>
      </c>
      <c r="LI13" s="7">
        <v>104</v>
      </c>
      <c r="LJ13" s="7">
        <v>367</v>
      </c>
      <c r="LK13" s="7">
        <v>0</v>
      </c>
      <c r="LL13" s="7">
        <v>156</v>
      </c>
      <c r="LM13" s="7">
        <v>33</v>
      </c>
      <c r="LN13" s="7">
        <v>5</v>
      </c>
      <c r="LO13" s="7">
        <v>1338</v>
      </c>
      <c r="LP13" s="7">
        <v>109</v>
      </c>
      <c r="LQ13" s="7">
        <v>345</v>
      </c>
      <c r="LR13" s="7">
        <v>0</v>
      </c>
      <c r="LS13" s="7">
        <v>121</v>
      </c>
      <c r="LT13" s="7">
        <v>16</v>
      </c>
      <c r="LU13" s="232">
        <v>5.1367801046999997</v>
      </c>
      <c r="LV13" s="232">
        <v>5.4740061162</v>
      </c>
      <c r="LW13" s="232">
        <v>4.8004357298000002</v>
      </c>
      <c r="LX13" s="7">
        <v>1321</v>
      </c>
      <c r="LY13" s="7">
        <v>7611</v>
      </c>
    </row>
    <row r="14" spans="1:16384" x14ac:dyDescent="0.25">
      <c r="A14" t="s">
        <v>58</v>
      </c>
      <c r="B14" t="s">
        <v>59</v>
      </c>
      <c r="C14" s="7">
        <v>18205</v>
      </c>
      <c r="D14">
        <v>19281</v>
      </c>
      <c r="F14">
        <f t="shared" si="0"/>
        <v>-19281</v>
      </c>
      <c r="G14">
        <f t="shared" si="1"/>
        <v>-100</v>
      </c>
      <c r="H14">
        <v>9522</v>
      </c>
      <c r="I14">
        <v>9759</v>
      </c>
      <c r="J14">
        <v>0</v>
      </c>
      <c r="K14">
        <v>19281</v>
      </c>
      <c r="L14" s="7">
        <v>1203</v>
      </c>
      <c r="M14" s="7">
        <v>1200</v>
      </c>
      <c r="N14" s="7">
        <v>1228</v>
      </c>
      <c r="O14" s="7">
        <v>1050</v>
      </c>
      <c r="P14" s="7">
        <v>660</v>
      </c>
      <c r="Q14" s="7">
        <v>660</v>
      </c>
      <c r="R14" s="7">
        <v>643</v>
      </c>
      <c r="S14" s="7">
        <v>594</v>
      </c>
      <c r="T14" s="7">
        <v>428</v>
      </c>
      <c r="U14" s="7">
        <v>366</v>
      </c>
      <c r="V14" s="7">
        <v>348</v>
      </c>
      <c r="W14" s="7">
        <v>289</v>
      </c>
      <c r="X14" s="7">
        <v>256</v>
      </c>
      <c r="Y14" s="7">
        <v>592</v>
      </c>
      <c r="Z14" s="7">
        <v>5</v>
      </c>
      <c r="AA14" s="7">
        <v>1129</v>
      </c>
      <c r="AB14" s="7">
        <v>1177</v>
      </c>
      <c r="AC14" s="7">
        <v>1266</v>
      </c>
      <c r="AD14" s="7">
        <v>1078</v>
      </c>
      <c r="AE14" s="7">
        <v>859</v>
      </c>
      <c r="AF14" s="7">
        <v>735</v>
      </c>
      <c r="AG14" s="7">
        <v>715</v>
      </c>
      <c r="AH14" s="7">
        <v>564</v>
      </c>
      <c r="AI14" s="7">
        <v>430</v>
      </c>
      <c r="AJ14" s="7">
        <v>384</v>
      </c>
      <c r="AK14" s="7">
        <v>368</v>
      </c>
      <c r="AL14" s="7">
        <v>262</v>
      </c>
      <c r="AM14" s="7">
        <v>228</v>
      </c>
      <c r="AN14" s="7">
        <v>554</v>
      </c>
      <c r="AO14" s="7">
        <v>10</v>
      </c>
      <c r="AP14">
        <v>18939</v>
      </c>
      <c r="AQ14">
        <v>101</v>
      </c>
      <c r="AR14">
        <v>45</v>
      </c>
      <c r="AS14">
        <v>100</v>
      </c>
      <c r="AT14">
        <v>96</v>
      </c>
      <c r="AU14" s="7">
        <v>152</v>
      </c>
      <c r="AV14" s="7">
        <v>77</v>
      </c>
      <c r="AW14" s="7">
        <v>75</v>
      </c>
      <c r="AX14" s="7">
        <v>202</v>
      </c>
      <c r="AY14" s="7">
        <v>152</v>
      </c>
      <c r="AZ14" s="7">
        <v>152</v>
      </c>
      <c r="BA14" s="7">
        <v>0</v>
      </c>
      <c r="BB14" s="7">
        <v>1</v>
      </c>
      <c r="BC14" s="7">
        <v>0</v>
      </c>
      <c r="BD14" s="7">
        <v>3</v>
      </c>
      <c r="BE14" s="7">
        <v>9</v>
      </c>
      <c r="BF14" s="7">
        <v>8</v>
      </c>
      <c r="BG14" s="7">
        <v>5</v>
      </c>
      <c r="BH14" s="7">
        <v>2</v>
      </c>
      <c r="BI14" s="7">
        <v>8</v>
      </c>
      <c r="BJ14" s="7">
        <v>5</v>
      </c>
      <c r="BK14" s="7">
        <v>5</v>
      </c>
      <c r="BL14" s="7">
        <v>6</v>
      </c>
      <c r="BM14" s="7">
        <v>12</v>
      </c>
      <c r="BN14" s="7">
        <v>6</v>
      </c>
      <c r="BO14" s="7">
        <v>5</v>
      </c>
      <c r="BP14" s="7">
        <v>4</v>
      </c>
      <c r="BQ14" s="7">
        <v>6</v>
      </c>
      <c r="BR14" s="7">
        <v>5</v>
      </c>
      <c r="BS14" s="7">
        <v>0</v>
      </c>
      <c r="BT14" s="7">
        <v>4</v>
      </c>
      <c r="BU14" s="7">
        <v>3</v>
      </c>
      <c r="BV14" s="7">
        <v>6</v>
      </c>
      <c r="BW14" s="7">
        <v>6</v>
      </c>
      <c r="BX14" s="7">
        <v>4</v>
      </c>
      <c r="BY14" s="7">
        <v>3</v>
      </c>
      <c r="BZ14" s="7">
        <v>3</v>
      </c>
      <c r="CA14" s="7">
        <v>2</v>
      </c>
      <c r="CB14" s="7">
        <v>20</v>
      </c>
      <c r="CC14" s="7">
        <v>11</v>
      </c>
      <c r="CD14" s="7">
        <v>69</v>
      </c>
      <c r="CE14" s="7">
        <v>67</v>
      </c>
      <c r="CF14" s="7">
        <v>0</v>
      </c>
      <c r="CG14" s="7">
        <v>0</v>
      </c>
      <c r="CH14" s="7">
        <v>3107</v>
      </c>
      <c r="CI14" s="7">
        <v>648</v>
      </c>
      <c r="CJ14" s="7">
        <v>16335</v>
      </c>
      <c r="CK14" s="7">
        <v>2937</v>
      </c>
      <c r="CL14" s="7">
        <v>144</v>
      </c>
      <c r="CM14" s="7">
        <v>289</v>
      </c>
      <c r="CN14" s="7">
        <v>529</v>
      </c>
      <c r="CO14" s="7">
        <v>675</v>
      </c>
      <c r="CP14" s="7">
        <v>682</v>
      </c>
      <c r="CQ14" s="7">
        <v>1436</v>
      </c>
      <c r="CR14" s="7">
        <v>2947</v>
      </c>
      <c r="CS14" s="7">
        <v>9110</v>
      </c>
      <c r="CT14" s="7">
        <v>1986</v>
      </c>
      <c r="CU14" s="7">
        <v>663</v>
      </c>
      <c r="CV14" s="7">
        <v>172</v>
      </c>
      <c r="CW14" s="7">
        <v>497</v>
      </c>
      <c r="CX14" s="7">
        <v>16</v>
      </c>
      <c r="CY14" s="7">
        <v>10006</v>
      </c>
      <c r="CZ14" s="7">
        <v>8263</v>
      </c>
      <c r="DA14" s="7">
        <v>114</v>
      </c>
      <c r="DB14" s="7">
        <v>144</v>
      </c>
      <c r="DC14" s="7">
        <v>0</v>
      </c>
      <c r="DD14" s="7">
        <v>5430</v>
      </c>
      <c r="DE14" s="7">
        <v>4260</v>
      </c>
      <c r="DF14" s="7">
        <v>9591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59</v>
      </c>
      <c r="DM14" s="7">
        <v>12</v>
      </c>
      <c r="DN14" s="7">
        <v>9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83</v>
      </c>
      <c r="DU14" s="7">
        <v>89</v>
      </c>
      <c r="DV14" s="7">
        <v>44</v>
      </c>
      <c r="DW14" s="7">
        <v>37</v>
      </c>
      <c r="DX14" s="7">
        <v>20</v>
      </c>
      <c r="DY14" s="7">
        <v>17</v>
      </c>
      <c r="DZ14" s="7">
        <v>26</v>
      </c>
      <c r="EA14" s="7">
        <v>25</v>
      </c>
      <c r="EB14" s="7">
        <v>1</v>
      </c>
      <c r="EC14" s="7">
        <v>2</v>
      </c>
      <c r="ED14" s="7">
        <v>2</v>
      </c>
      <c r="EE14" s="7">
        <v>3</v>
      </c>
      <c r="EF14" s="7">
        <v>36</v>
      </c>
      <c r="EG14" s="7">
        <v>23</v>
      </c>
      <c r="EH14" s="7">
        <v>117</v>
      </c>
      <c r="EI14" s="7">
        <v>52</v>
      </c>
      <c r="EJ14" s="7">
        <v>32</v>
      </c>
      <c r="EK14" s="7">
        <v>28</v>
      </c>
      <c r="EL14" s="7">
        <v>2</v>
      </c>
      <c r="EM14" s="7">
        <v>4</v>
      </c>
      <c r="EN14" s="7">
        <v>35</v>
      </c>
      <c r="EO14" s="7">
        <v>5108</v>
      </c>
      <c r="EP14" s="7">
        <v>5063</v>
      </c>
      <c r="EQ14" s="7">
        <v>45</v>
      </c>
      <c r="ER14" s="7">
        <v>1438</v>
      </c>
      <c r="ES14" s="7">
        <v>412</v>
      </c>
      <c r="ET14" s="7">
        <v>402</v>
      </c>
      <c r="EU14" s="7">
        <v>10</v>
      </c>
      <c r="EV14" s="7">
        <v>6451</v>
      </c>
      <c r="EW14" s="134">
        <v>82.241379309999999</v>
      </c>
      <c r="EX14" s="134">
        <v>5.938697318</v>
      </c>
      <c r="EY14" s="134">
        <v>4.2911877394999998</v>
      </c>
      <c r="EZ14" s="134">
        <v>6.245210728</v>
      </c>
      <c r="FA14" s="134">
        <v>1.2835249042000001</v>
      </c>
      <c r="FB14" s="7">
        <v>251</v>
      </c>
      <c r="FC14" s="7">
        <v>3372</v>
      </c>
      <c r="FD14" s="7">
        <v>166</v>
      </c>
      <c r="FE14" s="7">
        <v>1167</v>
      </c>
      <c r="FF14" s="7">
        <v>1</v>
      </c>
      <c r="FG14" s="7">
        <v>367</v>
      </c>
      <c r="FH14" s="7">
        <v>181</v>
      </c>
      <c r="FI14" s="134">
        <v>79.980842912</v>
      </c>
      <c r="FJ14" s="134">
        <v>10.766283525</v>
      </c>
      <c r="FK14" s="134">
        <v>5.1724137930999996</v>
      </c>
      <c r="FL14" s="134">
        <v>4.0804597701</v>
      </c>
      <c r="FM14" s="151">
        <v>5621</v>
      </c>
      <c r="FN14" s="151">
        <v>3867</v>
      </c>
      <c r="FO14" s="7">
        <v>1252</v>
      </c>
      <c r="FP14" s="7">
        <v>88</v>
      </c>
      <c r="FQ14" s="7">
        <v>10</v>
      </c>
      <c r="FR14" s="7">
        <v>3</v>
      </c>
      <c r="FS14" s="7">
        <v>4204</v>
      </c>
      <c r="FT14" s="7">
        <v>9</v>
      </c>
      <c r="FU14" s="7">
        <v>61</v>
      </c>
      <c r="FV14" s="7">
        <v>34</v>
      </c>
      <c r="FW14" s="7">
        <v>6136</v>
      </c>
      <c r="FX14" s="7">
        <v>3561</v>
      </c>
      <c r="FY14" s="7">
        <v>1302</v>
      </c>
      <c r="FZ14" s="7">
        <v>66</v>
      </c>
      <c r="GA14" s="7">
        <v>3</v>
      </c>
      <c r="GB14" s="7">
        <v>5</v>
      </c>
      <c r="GC14" s="7">
        <v>4669</v>
      </c>
      <c r="GD14" s="7">
        <v>16</v>
      </c>
      <c r="GE14" s="7">
        <v>77</v>
      </c>
      <c r="GF14" s="7">
        <v>62</v>
      </c>
      <c r="GG14" s="7">
        <v>708</v>
      </c>
      <c r="GH14" s="7">
        <v>738</v>
      </c>
      <c r="GI14" s="7">
        <v>756</v>
      </c>
      <c r="GJ14" s="7">
        <v>582</v>
      </c>
      <c r="GK14" s="7">
        <v>326</v>
      </c>
      <c r="GL14" s="7">
        <v>360</v>
      </c>
      <c r="GM14" s="7">
        <v>376</v>
      </c>
      <c r="GN14" s="7">
        <v>364</v>
      </c>
      <c r="GO14" s="7">
        <v>252</v>
      </c>
      <c r="GP14" s="7">
        <v>227</v>
      </c>
      <c r="GQ14" s="7">
        <v>204</v>
      </c>
      <c r="GR14" s="7">
        <v>180</v>
      </c>
      <c r="GS14" s="7">
        <v>148</v>
      </c>
      <c r="GT14" s="7">
        <v>124</v>
      </c>
      <c r="GU14" s="7">
        <v>127</v>
      </c>
      <c r="GV14" s="7">
        <v>71</v>
      </c>
      <c r="GW14" s="7">
        <v>34</v>
      </c>
      <c r="GX14" s="7">
        <v>43</v>
      </c>
      <c r="GY14" s="7">
        <v>642</v>
      </c>
      <c r="GZ14" s="7">
        <v>694</v>
      </c>
      <c r="HA14" s="7">
        <v>780</v>
      </c>
      <c r="HB14" s="7">
        <v>658</v>
      </c>
      <c r="HC14" s="7">
        <v>487</v>
      </c>
      <c r="HD14" s="7">
        <v>459</v>
      </c>
      <c r="HE14" s="7">
        <v>491</v>
      </c>
      <c r="HF14" s="7">
        <v>363</v>
      </c>
      <c r="HG14" s="7">
        <v>300</v>
      </c>
      <c r="HH14" s="7">
        <v>278</v>
      </c>
      <c r="HI14" s="7">
        <v>237</v>
      </c>
      <c r="HJ14" s="7">
        <v>191</v>
      </c>
      <c r="HK14" s="7">
        <v>143</v>
      </c>
      <c r="HL14" s="7">
        <v>130</v>
      </c>
      <c r="HM14" s="7">
        <v>142</v>
      </c>
      <c r="HN14" s="7">
        <v>69</v>
      </c>
      <c r="HO14" s="7">
        <v>32</v>
      </c>
      <c r="HP14" s="7">
        <v>38</v>
      </c>
      <c r="HQ14" s="7">
        <v>3745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13</v>
      </c>
      <c r="HY14" s="7">
        <v>144</v>
      </c>
      <c r="HZ14" s="7">
        <v>289</v>
      </c>
      <c r="IA14" s="7">
        <v>529</v>
      </c>
      <c r="IB14" s="7">
        <v>675</v>
      </c>
      <c r="IC14" s="7">
        <v>682</v>
      </c>
      <c r="ID14" s="7">
        <v>566</v>
      </c>
      <c r="IE14" s="7">
        <v>285</v>
      </c>
      <c r="IF14" s="7">
        <v>234</v>
      </c>
      <c r="IG14" s="7">
        <v>351</v>
      </c>
      <c r="IH14" s="7">
        <v>141</v>
      </c>
      <c r="II14" s="7">
        <v>761</v>
      </c>
      <c r="IJ14" s="7">
        <v>1266</v>
      </c>
      <c r="IK14" s="7">
        <v>832</v>
      </c>
      <c r="IL14" s="7">
        <v>453</v>
      </c>
      <c r="IM14" s="7">
        <v>179</v>
      </c>
      <c r="IN14" s="7">
        <v>63</v>
      </c>
      <c r="IO14" s="7">
        <v>19</v>
      </c>
      <c r="IP14" s="7">
        <v>12</v>
      </c>
      <c r="IQ14" s="7">
        <v>1122</v>
      </c>
      <c r="IR14" s="7">
        <v>1592</v>
      </c>
      <c r="IS14" s="7">
        <v>709</v>
      </c>
      <c r="IT14" s="7">
        <v>245</v>
      </c>
      <c r="IU14" s="7">
        <v>62</v>
      </c>
      <c r="IV14" s="7">
        <v>1003</v>
      </c>
      <c r="IW14" s="7">
        <v>1487</v>
      </c>
      <c r="IX14" s="7">
        <v>74</v>
      </c>
      <c r="IY14" s="7">
        <v>64</v>
      </c>
      <c r="IZ14" s="7">
        <v>2</v>
      </c>
      <c r="JA14" s="7">
        <v>1099</v>
      </c>
      <c r="JB14" s="7">
        <v>778</v>
      </c>
      <c r="JC14" s="7">
        <v>2085</v>
      </c>
      <c r="JD14" s="7">
        <v>17</v>
      </c>
      <c r="JE14" s="7">
        <v>139</v>
      </c>
      <c r="JF14" s="151">
        <v>3585.4871358325231</v>
      </c>
      <c r="JG14" s="151">
        <v>148.85948113118397</v>
      </c>
      <c r="JH14" s="7">
        <v>432</v>
      </c>
      <c r="JI14" s="7">
        <v>3208</v>
      </c>
      <c r="JJ14" s="7">
        <v>80</v>
      </c>
      <c r="JK14" s="7">
        <v>35</v>
      </c>
      <c r="JL14" s="7">
        <v>1578</v>
      </c>
      <c r="JM14" s="7">
        <v>799</v>
      </c>
      <c r="JN14" s="7">
        <v>398</v>
      </c>
      <c r="JO14" s="7">
        <v>2696</v>
      </c>
      <c r="JP14" s="7">
        <v>2660</v>
      </c>
      <c r="JQ14" s="7">
        <v>98</v>
      </c>
      <c r="JR14" s="7">
        <v>470</v>
      </c>
      <c r="JS14" s="7">
        <v>379</v>
      </c>
      <c r="JT14" s="7">
        <v>16</v>
      </c>
      <c r="JU14" s="151">
        <v>126.64746431318009</v>
      </c>
      <c r="JV14" s="151">
        <v>2808.6510739607552</v>
      </c>
      <c r="JW14" s="151">
        <v>621.54678639853</v>
      </c>
      <c r="JX14" s="151">
        <v>28.641811160057649</v>
      </c>
      <c r="JY14" s="7">
        <v>3595</v>
      </c>
      <c r="JZ14" s="7">
        <v>19218</v>
      </c>
      <c r="KA14" s="7">
        <v>0</v>
      </c>
      <c r="KB14" s="7">
        <v>0</v>
      </c>
      <c r="KC14" s="7">
        <v>0</v>
      </c>
      <c r="KD14" s="7">
        <v>0</v>
      </c>
      <c r="KE14" s="7">
        <v>0</v>
      </c>
      <c r="KF14" s="7">
        <v>0</v>
      </c>
      <c r="KG14" s="7">
        <v>63</v>
      </c>
      <c r="KH14" s="7">
        <v>2021</v>
      </c>
      <c r="KI14" s="7">
        <v>16715</v>
      </c>
      <c r="KJ14" s="7">
        <v>360</v>
      </c>
      <c r="KK14" s="7">
        <v>176</v>
      </c>
      <c r="KL14" s="7">
        <v>650</v>
      </c>
      <c r="KM14" s="7">
        <v>14415</v>
      </c>
      <c r="KN14" s="7">
        <v>3190</v>
      </c>
      <c r="KO14" s="7">
        <v>147</v>
      </c>
      <c r="KP14" s="7">
        <v>18402</v>
      </c>
      <c r="KQ14" s="7">
        <v>764</v>
      </c>
      <c r="KR14" s="7">
        <v>2978</v>
      </c>
      <c r="KS14" s="7">
        <v>2978</v>
      </c>
      <c r="KT14" s="7">
        <v>541</v>
      </c>
      <c r="KU14" s="7">
        <v>196</v>
      </c>
      <c r="KV14" s="7">
        <v>590</v>
      </c>
      <c r="KW14" s="7">
        <v>1</v>
      </c>
      <c r="KX14" s="7">
        <v>542</v>
      </c>
      <c r="KY14" s="7">
        <v>216</v>
      </c>
      <c r="KZ14" s="7">
        <v>572</v>
      </c>
      <c r="LA14" s="7">
        <v>1</v>
      </c>
      <c r="LB14" s="7">
        <v>1698</v>
      </c>
      <c r="LC14" s="7">
        <v>1766</v>
      </c>
      <c r="LD14" s="7">
        <v>463</v>
      </c>
      <c r="LE14" s="7">
        <v>1006</v>
      </c>
      <c r="LF14" s="7">
        <v>12063</v>
      </c>
      <c r="LG14" s="7">
        <v>33</v>
      </c>
      <c r="LH14" s="7">
        <v>3368</v>
      </c>
      <c r="LI14" s="7">
        <v>316</v>
      </c>
      <c r="LJ14" s="7">
        <v>1231</v>
      </c>
      <c r="LK14" s="7">
        <v>2</v>
      </c>
      <c r="LL14" s="7">
        <v>513</v>
      </c>
      <c r="LM14" s="7">
        <v>164</v>
      </c>
      <c r="LN14" s="7">
        <v>39</v>
      </c>
      <c r="LO14" s="7">
        <v>3676</v>
      </c>
      <c r="LP14" s="7">
        <v>257</v>
      </c>
      <c r="LQ14" s="7">
        <v>1074</v>
      </c>
      <c r="LR14" s="7">
        <v>3</v>
      </c>
      <c r="LS14" s="7">
        <v>456</v>
      </c>
      <c r="LT14" s="7">
        <v>101</v>
      </c>
      <c r="LU14" s="232">
        <v>5.8490016639000002</v>
      </c>
      <c r="LV14" s="232">
        <v>6.2418144610999997</v>
      </c>
      <c r="LW14" s="232">
        <v>5.4748213124999996</v>
      </c>
      <c r="LX14" s="7">
        <v>3755</v>
      </c>
      <c r="LY14" s="7">
        <v>19272</v>
      </c>
    </row>
    <row r="15" spans="1:16384" x14ac:dyDescent="0.25">
      <c r="A15" t="s">
        <v>262</v>
      </c>
      <c r="B15" t="s">
        <v>263</v>
      </c>
      <c r="C15" s="7">
        <v>14436</v>
      </c>
      <c r="D15">
        <v>17282</v>
      </c>
      <c r="F15">
        <f t="shared" si="0"/>
        <v>-17282</v>
      </c>
      <c r="G15">
        <f t="shared" si="1"/>
        <v>-100</v>
      </c>
      <c r="H15">
        <v>8695</v>
      </c>
      <c r="I15">
        <v>8587</v>
      </c>
      <c r="J15">
        <v>7259</v>
      </c>
      <c r="K15">
        <v>10023</v>
      </c>
      <c r="L15" s="7">
        <v>1181</v>
      </c>
      <c r="M15" s="7">
        <v>1196</v>
      </c>
      <c r="N15" s="7">
        <v>1223</v>
      </c>
      <c r="O15" s="7">
        <v>1139</v>
      </c>
      <c r="P15" s="7">
        <v>746</v>
      </c>
      <c r="Q15" s="7">
        <v>524</v>
      </c>
      <c r="R15" s="7">
        <v>527</v>
      </c>
      <c r="S15" s="7">
        <v>472</v>
      </c>
      <c r="T15" s="7">
        <v>374</v>
      </c>
      <c r="U15" s="7">
        <v>322</v>
      </c>
      <c r="V15" s="7">
        <v>258</v>
      </c>
      <c r="W15" s="7">
        <v>223</v>
      </c>
      <c r="X15" s="7">
        <v>163</v>
      </c>
      <c r="Y15" s="7">
        <v>323</v>
      </c>
      <c r="Z15" s="7">
        <v>24</v>
      </c>
      <c r="AA15" s="7">
        <v>1144</v>
      </c>
      <c r="AB15" s="7">
        <v>1162</v>
      </c>
      <c r="AC15" s="7">
        <v>1192</v>
      </c>
      <c r="AD15" s="7">
        <v>1063</v>
      </c>
      <c r="AE15" s="7">
        <v>817</v>
      </c>
      <c r="AF15" s="7">
        <v>631</v>
      </c>
      <c r="AG15" s="7">
        <v>579</v>
      </c>
      <c r="AH15" s="7">
        <v>522</v>
      </c>
      <c r="AI15" s="7">
        <v>356</v>
      </c>
      <c r="AJ15" s="7">
        <v>305</v>
      </c>
      <c r="AK15" s="7">
        <v>243</v>
      </c>
      <c r="AL15" s="7">
        <v>182</v>
      </c>
      <c r="AM15" s="7">
        <v>140</v>
      </c>
      <c r="AN15" s="7">
        <v>229</v>
      </c>
      <c r="AO15" s="7">
        <v>22</v>
      </c>
      <c r="AP15">
        <v>13939</v>
      </c>
      <c r="AQ15">
        <v>2868</v>
      </c>
      <c r="AR15">
        <v>36</v>
      </c>
      <c r="AS15">
        <v>370</v>
      </c>
      <c r="AT15">
        <v>69</v>
      </c>
      <c r="AU15" s="7">
        <v>4553</v>
      </c>
      <c r="AV15" s="7">
        <v>2294</v>
      </c>
      <c r="AW15" s="7">
        <v>2259</v>
      </c>
      <c r="AX15" s="7">
        <v>3746</v>
      </c>
      <c r="AY15" s="7">
        <v>4553</v>
      </c>
      <c r="AZ15" s="7">
        <v>3533</v>
      </c>
      <c r="BA15" s="7">
        <v>1020</v>
      </c>
      <c r="BB15" s="7">
        <v>113</v>
      </c>
      <c r="BC15" s="7">
        <v>103</v>
      </c>
      <c r="BD15" s="7">
        <v>276</v>
      </c>
      <c r="BE15" s="7">
        <v>294</v>
      </c>
      <c r="BF15" s="7">
        <v>322</v>
      </c>
      <c r="BG15" s="7">
        <v>319</v>
      </c>
      <c r="BH15" s="7">
        <v>311</v>
      </c>
      <c r="BI15" s="7">
        <v>264</v>
      </c>
      <c r="BJ15" s="7">
        <v>219</v>
      </c>
      <c r="BK15" s="7">
        <v>231</v>
      </c>
      <c r="BL15" s="7">
        <v>149</v>
      </c>
      <c r="BM15" s="7">
        <v>188</v>
      </c>
      <c r="BN15" s="7">
        <v>160</v>
      </c>
      <c r="BO15" s="7">
        <v>173</v>
      </c>
      <c r="BP15" s="7">
        <v>164</v>
      </c>
      <c r="BQ15" s="7">
        <v>164</v>
      </c>
      <c r="BR15" s="7">
        <v>109</v>
      </c>
      <c r="BS15" s="7">
        <v>120</v>
      </c>
      <c r="BT15" s="7">
        <v>126</v>
      </c>
      <c r="BU15" s="7">
        <v>110</v>
      </c>
      <c r="BV15" s="7">
        <v>90</v>
      </c>
      <c r="BW15" s="7">
        <v>79</v>
      </c>
      <c r="BX15" s="7">
        <v>72</v>
      </c>
      <c r="BY15" s="7">
        <v>58</v>
      </c>
      <c r="BZ15" s="7">
        <v>55</v>
      </c>
      <c r="CA15" s="7">
        <v>56</v>
      </c>
      <c r="CB15" s="7">
        <v>128</v>
      </c>
      <c r="CC15" s="7">
        <v>100</v>
      </c>
      <c r="CD15" s="7">
        <v>2043</v>
      </c>
      <c r="CE15" s="7">
        <v>1908</v>
      </c>
      <c r="CF15" s="7">
        <v>190</v>
      </c>
      <c r="CG15" s="7">
        <v>289</v>
      </c>
      <c r="CH15" s="7">
        <v>2956</v>
      </c>
      <c r="CI15" s="7">
        <v>607</v>
      </c>
      <c r="CJ15" s="7">
        <v>14774</v>
      </c>
      <c r="CK15" s="7">
        <v>2472</v>
      </c>
      <c r="CL15" s="7">
        <v>177</v>
      </c>
      <c r="CM15" s="7">
        <v>367</v>
      </c>
      <c r="CN15" s="7">
        <v>551</v>
      </c>
      <c r="CO15" s="7">
        <v>651</v>
      </c>
      <c r="CP15" s="7">
        <v>644</v>
      </c>
      <c r="CQ15" s="7">
        <v>1173</v>
      </c>
      <c r="CR15" s="7">
        <v>2820</v>
      </c>
      <c r="CS15" s="7">
        <v>9044</v>
      </c>
      <c r="CT15" s="7">
        <v>938</v>
      </c>
      <c r="CU15" s="7">
        <v>302</v>
      </c>
      <c r="CV15" s="7">
        <v>115</v>
      </c>
      <c r="CW15" s="7">
        <v>371</v>
      </c>
      <c r="CX15" s="7">
        <v>32</v>
      </c>
      <c r="CY15" s="7">
        <v>11522</v>
      </c>
      <c r="CZ15" s="7">
        <v>5071</v>
      </c>
      <c r="DA15" s="7">
        <v>140</v>
      </c>
      <c r="DB15" s="7">
        <v>177</v>
      </c>
      <c r="DC15" s="7">
        <v>8</v>
      </c>
      <c r="DD15" s="7">
        <v>1291</v>
      </c>
      <c r="DE15" s="7">
        <v>996</v>
      </c>
      <c r="DF15" s="7">
        <v>7736</v>
      </c>
      <c r="DG15" s="7">
        <v>0</v>
      </c>
      <c r="DH15" s="7">
        <v>7259</v>
      </c>
      <c r="DI15" s="7">
        <v>0</v>
      </c>
      <c r="DJ15" s="7">
        <v>0</v>
      </c>
      <c r="DK15" s="7">
        <v>0</v>
      </c>
      <c r="DL15" s="7">
        <v>36</v>
      </c>
      <c r="DM15" s="7">
        <v>3</v>
      </c>
      <c r="DN15" s="7">
        <v>10</v>
      </c>
      <c r="DO15" s="7">
        <v>0</v>
      </c>
      <c r="DP15" s="7">
        <v>1</v>
      </c>
      <c r="DQ15" s="7">
        <v>0</v>
      </c>
      <c r="DR15" s="7">
        <v>0</v>
      </c>
      <c r="DS15" s="7">
        <v>0</v>
      </c>
      <c r="DT15" s="7">
        <v>177</v>
      </c>
      <c r="DU15" s="7">
        <v>126</v>
      </c>
      <c r="DV15" s="7">
        <v>78</v>
      </c>
      <c r="DW15" s="7">
        <v>70</v>
      </c>
      <c r="DX15" s="7">
        <v>7</v>
      </c>
      <c r="DY15" s="7">
        <v>6</v>
      </c>
      <c r="DZ15" s="7">
        <v>27</v>
      </c>
      <c r="EA15" s="7">
        <v>25</v>
      </c>
      <c r="EB15" s="7">
        <v>7</v>
      </c>
      <c r="EC15" s="7">
        <v>4</v>
      </c>
      <c r="ED15" s="7">
        <v>8</v>
      </c>
      <c r="EE15" s="7">
        <v>8</v>
      </c>
      <c r="EF15" s="7">
        <v>33</v>
      </c>
      <c r="EG15" s="7">
        <v>24</v>
      </c>
      <c r="EH15" s="7">
        <v>193</v>
      </c>
      <c r="EI15" s="7">
        <v>100</v>
      </c>
      <c r="EJ15" s="7">
        <v>12</v>
      </c>
      <c r="EK15" s="7">
        <v>31</v>
      </c>
      <c r="EL15" s="7">
        <v>9</v>
      </c>
      <c r="EM15" s="7">
        <v>11</v>
      </c>
      <c r="EN15" s="7">
        <v>37</v>
      </c>
      <c r="EO15" s="7">
        <v>4454</v>
      </c>
      <c r="EP15" s="7">
        <v>4393</v>
      </c>
      <c r="EQ15" s="7">
        <v>61</v>
      </c>
      <c r="ER15" s="7">
        <v>1310</v>
      </c>
      <c r="ES15" s="7">
        <v>583</v>
      </c>
      <c r="ET15" s="7">
        <v>557</v>
      </c>
      <c r="EU15" s="7">
        <v>26</v>
      </c>
      <c r="EV15" s="7">
        <v>5180</v>
      </c>
      <c r="EW15" s="134">
        <v>63.584197748999998</v>
      </c>
      <c r="EX15" s="134">
        <v>6.8858971529000002</v>
      </c>
      <c r="EY15" s="134">
        <v>8.9163540057000006</v>
      </c>
      <c r="EZ15" s="134">
        <v>19.686603398999999</v>
      </c>
      <c r="FA15" s="134">
        <v>0.92694769369999996</v>
      </c>
      <c r="FB15" s="7">
        <v>1018</v>
      </c>
      <c r="FC15" s="7">
        <v>2322</v>
      </c>
      <c r="FD15" s="7">
        <v>207</v>
      </c>
      <c r="FE15" s="7">
        <v>927</v>
      </c>
      <c r="FF15" s="7">
        <v>0</v>
      </c>
      <c r="FG15" s="7">
        <v>444</v>
      </c>
      <c r="FH15" s="7">
        <v>105</v>
      </c>
      <c r="FI15" s="134">
        <v>56.389318031000002</v>
      </c>
      <c r="FJ15" s="134">
        <v>22.445376296999999</v>
      </c>
      <c r="FK15" s="134">
        <v>15.912602075000001</v>
      </c>
      <c r="FL15" s="134">
        <v>5.2527035974</v>
      </c>
      <c r="FM15" s="151">
        <v>5770</v>
      </c>
      <c r="FN15" s="151">
        <v>2881</v>
      </c>
      <c r="FO15" s="7">
        <v>3493</v>
      </c>
      <c r="FP15" s="7">
        <v>23</v>
      </c>
      <c r="FQ15" s="7">
        <v>5</v>
      </c>
      <c r="FR15" s="7">
        <v>121</v>
      </c>
      <c r="FS15" s="7">
        <v>2293</v>
      </c>
      <c r="FT15" s="7">
        <v>52</v>
      </c>
      <c r="FU15" s="7">
        <v>21</v>
      </c>
      <c r="FV15" s="7">
        <v>44</v>
      </c>
      <c r="FW15" s="7">
        <v>5966</v>
      </c>
      <c r="FX15" s="7">
        <v>2557</v>
      </c>
      <c r="FY15" s="7">
        <v>3603</v>
      </c>
      <c r="FZ15" s="7">
        <v>20</v>
      </c>
      <c r="GA15" s="7">
        <v>8</v>
      </c>
      <c r="GB15" s="7">
        <v>99</v>
      </c>
      <c r="GC15" s="7">
        <v>2485</v>
      </c>
      <c r="GD15" s="7">
        <v>43</v>
      </c>
      <c r="GE15" s="7">
        <v>13</v>
      </c>
      <c r="GF15" s="7">
        <v>64</v>
      </c>
      <c r="GG15" s="7">
        <v>741</v>
      </c>
      <c r="GH15" s="7">
        <v>833</v>
      </c>
      <c r="GI15" s="7">
        <v>884</v>
      </c>
      <c r="GJ15" s="7">
        <v>757</v>
      </c>
      <c r="GK15" s="7">
        <v>420</v>
      </c>
      <c r="GL15" s="7">
        <v>331</v>
      </c>
      <c r="GM15" s="7">
        <v>340</v>
      </c>
      <c r="GN15" s="7">
        <v>336</v>
      </c>
      <c r="GO15" s="7">
        <v>240</v>
      </c>
      <c r="GP15" s="7">
        <v>207</v>
      </c>
      <c r="GQ15" s="7">
        <v>182</v>
      </c>
      <c r="GR15" s="7">
        <v>147</v>
      </c>
      <c r="GS15" s="7">
        <v>109</v>
      </c>
      <c r="GT15" s="7">
        <v>77</v>
      </c>
      <c r="GU15" s="7">
        <v>84</v>
      </c>
      <c r="GV15" s="7">
        <v>39</v>
      </c>
      <c r="GW15" s="7">
        <v>23</v>
      </c>
      <c r="GX15" s="7">
        <v>15</v>
      </c>
      <c r="GY15" s="7">
        <v>707</v>
      </c>
      <c r="GZ15" s="7">
        <v>766</v>
      </c>
      <c r="HA15" s="7">
        <v>859</v>
      </c>
      <c r="HB15" s="7">
        <v>718</v>
      </c>
      <c r="HC15" s="7">
        <v>547</v>
      </c>
      <c r="HD15" s="7">
        <v>445</v>
      </c>
      <c r="HE15" s="7">
        <v>431</v>
      </c>
      <c r="HF15" s="7">
        <v>393</v>
      </c>
      <c r="HG15" s="7">
        <v>276</v>
      </c>
      <c r="HH15" s="7">
        <v>223</v>
      </c>
      <c r="HI15" s="7">
        <v>173</v>
      </c>
      <c r="HJ15" s="7">
        <v>139</v>
      </c>
      <c r="HK15" s="7">
        <v>98</v>
      </c>
      <c r="HL15" s="7">
        <v>83</v>
      </c>
      <c r="HM15" s="7">
        <v>53</v>
      </c>
      <c r="HN15" s="7">
        <v>28</v>
      </c>
      <c r="HO15" s="7">
        <v>12</v>
      </c>
      <c r="HP15" s="7">
        <v>12</v>
      </c>
      <c r="HQ15" s="7">
        <v>3482</v>
      </c>
      <c r="HR15" s="7">
        <v>32</v>
      </c>
      <c r="HS15" s="7">
        <v>24</v>
      </c>
      <c r="HT15" s="7">
        <v>2</v>
      </c>
      <c r="HU15" s="7">
        <v>4</v>
      </c>
      <c r="HV15" s="7">
        <v>0</v>
      </c>
      <c r="HW15" s="7">
        <v>0</v>
      </c>
      <c r="HX15" s="7">
        <v>31</v>
      </c>
      <c r="HY15" s="7">
        <v>177</v>
      </c>
      <c r="HZ15" s="7">
        <v>367</v>
      </c>
      <c r="IA15" s="7">
        <v>548</v>
      </c>
      <c r="IB15" s="7">
        <v>650</v>
      </c>
      <c r="IC15" s="7">
        <v>644</v>
      </c>
      <c r="ID15" s="7">
        <v>484</v>
      </c>
      <c r="IE15" s="7">
        <v>261</v>
      </c>
      <c r="IF15" s="7">
        <v>163</v>
      </c>
      <c r="IG15" s="7">
        <v>265</v>
      </c>
      <c r="IH15" s="7">
        <v>434</v>
      </c>
      <c r="II15" s="7">
        <v>1103</v>
      </c>
      <c r="IJ15" s="7">
        <v>1003</v>
      </c>
      <c r="IK15" s="7">
        <v>575</v>
      </c>
      <c r="IL15" s="7">
        <v>262</v>
      </c>
      <c r="IM15" s="7">
        <v>114</v>
      </c>
      <c r="IN15" s="7">
        <v>23</v>
      </c>
      <c r="IO15" s="7">
        <v>10</v>
      </c>
      <c r="IP15" s="7">
        <v>5</v>
      </c>
      <c r="IQ15" s="7">
        <v>1686</v>
      </c>
      <c r="IR15" s="7">
        <v>1169</v>
      </c>
      <c r="IS15" s="7">
        <v>461</v>
      </c>
      <c r="IT15" s="7">
        <v>180</v>
      </c>
      <c r="IU15" s="7">
        <v>39</v>
      </c>
      <c r="IV15" s="7">
        <v>156</v>
      </c>
      <c r="IW15" s="7">
        <v>1291</v>
      </c>
      <c r="IX15" s="7">
        <v>200</v>
      </c>
      <c r="IY15" s="7">
        <v>24</v>
      </c>
      <c r="IZ15" s="7">
        <v>22</v>
      </c>
      <c r="JA15" s="7">
        <v>1840</v>
      </c>
      <c r="JB15" s="7">
        <v>12</v>
      </c>
      <c r="JC15" s="7">
        <v>2792</v>
      </c>
      <c r="JD15" s="7">
        <v>18</v>
      </c>
      <c r="JE15" s="7">
        <v>9</v>
      </c>
      <c r="JF15" s="151">
        <v>3214.4681851528717</v>
      </c>
      <c r="JG15" s="151">
        <v>329.52482520205865</v>
      </c>
      <c r="JH15" s="7">
        <v>332</v>
      </c>
      <c r="JI15" s="7">
        <v>3107</v>
      </c>
      <c r="JJ15" s="7">
        <v>69</v>
      </c>
      <c r="JK15" s="7">
        <v>51</v>
      </c>
      <c r="JL15" s="7">
        <v>2077</v>
      </c>
      <c r="JM15" s="7">
        <v>1262</v>
      </c>
      <c r="JN15" s="7">
        <v>628</v>
      </c>
      <c r="JO15" s="7">
        <v>1594</v>
      </c>
      <c r="JP15" s="7">
        <v>2389</v>
      </c>
      <c r="JQ15" s="7">
        <v>181</v>
      </c>
      <c r="JR15" s="7">
        <v>156</v>
      </c>
      <c r="JS15" s="7">
        <v>1672</v>
      </c>
      <c r="JT15" s="7">
        <v>41</v>
      </c>
      <c r="JU15" s="151">
        <v>216.92856831483485</v>
      </c>
      <c r="JV15" s="151">
        <v>2438.6903051317245</v>
      </c>
      <c r="JW15" s="151">
        <v>550.17216897371929</v>
      </c>
      <c r="JX15" s="151">
        <v>8.6771427325933939</v>
      </c>
      <c r="JY15" s="7">
        <v>3424</v>
      </c>
      <c r="JZ15" s="7">
        <v>16941</v>
      </c>
      <c r="KA15" s="7">
        <v>118</v>
      </c>
      <c r="KB15" s="7">
        <v>79</v>
      </c>
      <c r="KC15" s="7">
        <v>12</v>
      </c>
      <c r="KD15" s="7">
        <v>13</v>
      </c>
      <c r="KE15" s="7">
        <v>0</v>
      </c>
      <c r="KF15" s="7">
        <v>0</v>
      </c>
      <c r="KG15" s="7">
        <v>119</v>
      </c>
      <c r="KH15" s="7">
        <v>1784</v>
      </c>
      <c r="KI15" s="7">
        <v>14918</v>
      </c>
      <c r="KJ15" s="7">
        <v>301</v>
      </c>
      <c r="KK15" s="7">
        <v>230</v>
      </c>
      <c r="KL15" s="7">
        <v>1050</v>
      </c>
      <c r="KM15" s="7">
        <v>11804</v>
      </c>
      <c r="KN15" s="7">
        <v>2663</v>
      </c>
      <c r="KO15" s="7">
        <v>42</v>
      </c>
      <c r="KP15" s="7">
        <v>15559</v>
      </c>
      <c r="KQ15" s="7">
        <v>1595</v>
      </c>
      <c r="KR15" s="7">
        <v>2883</v>
      </c>
      <c r="KS15" s="7">
        <v>2883</v>
      </c>
      <c r="KT15" s="7">
        <v>559</v>
      </c>
      <c r="KU15" s="7">
        <v>216</v>
      </c>
      <c r="KV15" s="7">
        <v>488</v>
      </c>
      <c r="KW15" s="7">
        <v>0</v>
      </c>
      <c r="KX15" s="7">
        <v>526</v>
      </c>
      <c r="KY15" s="7">
        <v>211</v>
      </c>
      <c r="KZ15" s="7">
        <v>442</v>
      </c>
      <c r="LA15" s="7">
        <v>1</v>
      </c>
      <c r="LB15" s="7">
        <v>1590</v>
      </c>
      <c r="LC15" s="7">
        <v>1589</v>
      </c>
      <c r="LD15" s="7">
        <v>859</v>
      </c>
      <c r="LE15" s="7">
        <v>1248</v>
      </c>
      <c r="LF15" s="7">
        <v>10138</v>
      </c>
      <c r="LG15" s="7">
        <v>29</v>
      </c>
      <c r="LH15" s="7">
        <v>2164</v>
      </c>
      <c r="LI15" s="7">
        <v>355</v>
      </c>
      <c r="LJ15" s="7">
        <v>899</v>
      </c>
      <c r="LK15" s="7">
        <v>0</v>
      </c>
      <c r="LL15" s="7">
        <v>538</v>
      </c>
      <c r="LM15" s="7">
        <v>83</v>
      </c>
      <c r="LN15" s="7">
        <v>25</v>
      </c>
      <c r="LO15" s="7">
        <v>2046</v>
      </c>
      <c r="LP15" s="7">
        <v>290</v>
      </c>
      <c r="LQ15" s="7">
        <v>913</v>
      </c>
      <c r="LR15" s="7">
        <v>1</v>
      </c>
      <c r="LS15" s="7">
        <v>470</v>
      </c>
      <c r="LT15" s="7">
        <v>61</v>
      </c>
      <c r="LU15" s="232">
        <v>5.2316456950000001</v>
      </c>
      <c r="LV15" s="232">
        <v>5.4541311669999999</v>
      </c>
      <c r="LW15" s="232">
        <v>5.0091161315999999</v>
      </c>
      <c r="LX15" s="7">
        <v>3559</v>
      </c>
      <c r="LY15" s="7">
        <v>17233</v>
      </c>
    </row>
    <row r="16" spans="1:16384" x14ac:dyDescent="0.25">
      <c r="A16" t="s">
        <v>60</v>
      </c>
      <c r="B16" t="s">
        <v>61</v>
      </c>
      <c r="C16" s="7">
        <v>28719</v>
      </c>
      <c r="D16">
        <v>43179</v>
      </c>
      <c r="F16">
        <f t="shared" si="0"/>
        <v>-43179</v>
      </c>
      <c r="G16">
        <f t="shared" si="1"/>
        <v>-100</v>
      </c>
      <c r="H16">
        <v>21562</v>
      </c>
      <c r="I16">
        <v>21617</v>
      </c>
      <c r="J16">
        <v>28128</v>
      </c>
      <c r="K16">
        <v>15051</v>
      </c>
      <c r="L16" s="7">
        <v>2623</v>
      </c>
      <c r="M16" s="7">
        <v>2555</v>
      </c>
      <c r="N16" s="7">
        <v>2351</v>
      </c>
      <c r="O16" s="7">
        <v>2490</v>
      </c>
      <c r="P16" s="7">
        <v>2035</v>
      </c>
      <c r="Q16" s="7">
        <v>1649</v>
      </c>
      <c r="R16" s="7">
        <v>1581</v>
      </c>
      <c r="S16" s="7">
        <v>1383</v>
      </c>
      <c r="T16" s="7">
        <v>1053</v>
      </c>
      <c r="U16" s="7">
        <v>790</v>
      </c>
      <c r="V16" s="7">
        <v>694</v>
      </c>
      <c r="W16" s="7">
        <v>577</v>
      </c>
      <c r="X16" s="7">
        <v>464</v>
      </c>
      <c r="Y16" s="7">
        <v>924</v>
      </c>
      <c r="Z16" s="7">
        <v>393</v>
      </c>
      <c r="AA16" s="7">
        <v>2502</v>
      </c>
      <c r="AB16" s="7">
        <v>2490</v>
      </c>
      <c r="AC16" s="7">
        <v>2296</v>
      </c>
      <c r="AD16" s="7">
        <v>2285</v>
      </c>
      <c r="AE16" s="7">
        <v>2090</v>
      </c>
      <c r="AF16" s="7">
        <v>1865</v>
      </c>
      <c r="AG16" s="7">
        <v>1715</v>
      </c>
      <c r="AH16" s="7">
        <v>1424</v>
      </c>
      <c r="AI16" s="7">
        <v>1070</v>
      </c>
      <c r="AJ16" s="7">
        <v>898</v>
      </c>
      <c r="AK16" s="7">
        <v>683</v>
      </c>
      <c r="AL16" s="7">
        <v>545</v>
      </c>
      <c r="AM16" s="7">
        <v>469</v>
      </c>
      <c r="AN16" s="7">
        <v>891</v>
      </c>
      <c r="AO16" s="7">
        <v>394</v>
      </c>
      <c r="AP16">
        <v>40650</v>
      </c>
      <c r="AQ16">
        <v>1611</v>
      </c>
      <c r="AR16">
        <v>20</v>
      </c>
      <c r="AS16">
        <v>39</v>
      </c>
      <c r="AT16">
        <v>859</v>
      </c>
      <c r="AU16" s="7">
        <v>1590</v>
      </c>
      <c r="AV16" s="7">
        <v>824</v>
      </c>
      <c r="AW16" s="7">
        <v>766</v>
      </c>
      <c r="AX16" s="7">
        <v>1041</v>
      </c>
      <c r="AY16" s="7">
        <v>1590</v>
      </c>
      <c r="AZ16" s="7">
        <v>1220</v>
      </c>
      <c r="BA16" s="7">
        <v>370</v>
      </c>
      <c r="BB16" s="7">
        <v>36</v>
      </c>
      <c r="BC16" s="7">
        <v>29</v>
      </c>
      <c r="BD16" s="7">
        <v>86</v>
      </c>
      <c r="BE16" s="7">
        <v>96</v>
      </c>
      <c r="BF16" s="7">
        <v>90</v>
      </c>
      <c r="BG16" s="7">
        <v>86</v>
      </c>
      <c r="BH16" s="7">
        <v>114</v>
      </c>
      <c r="BI16" s="7">
        <v>100</v>
      </c>
      <c r="BJ16" s="7">
        <v>98</v>
      </c>
      <c r="BK16" s="7">
        <v>102</v>
      </c>
      <c r="BL16" s="7">
        <v>65</v>
      </c>
      <c r="BM16" s="7">
        <v>68</v>
      </c>
      <c r="BN16" s="7">
        <v>77</v>
      </c>
      <c r="BO16" s="7">
        <v>69</v>
      </c>
      <c r="BP16" s="7">
        <v>49</v>
      </c>
      <c r="BQ16" s="7">
        <v>55</v>
      </c>
      <c r="BR16" s="7">
        <v>60</v>
      </c>
      <c r="BS16" s="7">
        <v>42</v>
      </c>
      <c r="BT16" s="7">
        <v>35</v>
      </c>
      <c r="BU16" s="7">
        <v>30</v>
      </c>
      <c r="BV16" s="7">
        <v>35</v>
      </c>
      <c r="BW16" s="7">
        <v>20</v>
      </c>
      <c r="BX16" s="7">
        <v>24</v>
      </c>
      <c r="BY16" s="7">
        <v>23</v>
      </c>
      <c r="BZ16" s="7">
        <v>19</v>
      </c>
      <c r="CA16" s="7">
        <v>10</v>
      </c>
      <c r="CB16" s="7">
        <v>36</v>
      </c>
      <c r="CC16" s="7">
        <v>36</v>
      </c>
      <c r="CD16" s="7">
        <v>749</v>
      </c>
      <c r="CE16" s="7">
        <v>670</v>
      </c>
      <c r="CF16" s="7">
        <v>24</v>
      </c>
      <c r="CG16" s="7">
        <v>44</v>
      </c>
      <c r="CH16" s="7">
        <v>7567</v>
      </c>
      <c r="CI16" s="7">
        <v>1675</v>
      </c>
      <c r="CJ16" s="7">
        <v>35596</v>
      </c>
      <c r="CK16" s="7">
        <v>6547</v>
      </c>
      <c r="CL16" s="7">
        <v>535</v>
      </c>
      <c r="CM16" s="7">
        <v>1167</v>
      </c>
      <c r="CN16" s="7">
        <v>1488</v>
      </c>
      <c r="CO16" s="7">
        <v>1922</v>
      </c>
      <c r="CP16" s="7">
        <v>1643</v>
      </c>
      <c r="CQ16" s="7">
        <v>2487</v>
      </c>
      <c r="CR16" s="7">
        <v>7349</v>
      </c>
      <c r="CS16" s="7">
        <v>19536</v>
      </c>
      <c r="CT16" s="7">
        <v>2964</v>
      </c>
      <c r="CU16" s="7">
        <v>1279</v>
      </c>
      <c r="CV16" s="7">
        <v>350</v>
      </c>
      <c r="CW16" s="7">
        <v>1095</v>
      </c>
      <c r="CX16" s="7">
        <v>169</v>
      </c>
      <c r="CY16" s="7">
        <v>25696</v>
      </c>
      <c r="CZ16" s="7">
        <v>14503</v>
      </c>
      <c r="DA16" s="7">
        <v>499</v>
      </c>
      <c r="DB16" s="7">
        <v>535</v>
      </c>
      <c r="DC16" s="7">
        <v>42</v>
      </c>
      <c r="DD16" s="7">
        <v>6333</v>
      </c>
      <c r="DE16" s="7">
        <v>1968</v>
      </c>
      <c r="DF16" s="7">
        <v>6750</v>
      </c>
      <c r="DG16" s="7">
        <v>0</v>
      </c>
      <c r="DH16" s="7">
        <v>0</v>
      </c>
      <c r="DI16" s="7">
        <v>28128</v>
      </c>
      <c r="DJ16" s="7">
        <v>0</v>
      </c>
      <c r="DK16" s="7">
        <v>0</v>
      </c>
      <c r="DL16" s="7">
        <v>293</v>
      </c>
      <c r="DM16" s="7">
        <v>5</v>
      </c>
      <c r="DN16" s="7">
        <v>7</v>
      </c>
      <c r="DO16" s="7">
        <v>0</v>
      </c>
      <c r="DP16" s="7">
        <v>0</v>
      </c>
      <c r="DQ16" s="7">
        <v>1</v>
      </c>
      <c r="DR16" s="7">
        <v>0</v>
      </c>
      <c r="DS16" s="7">
        <v>0</v>
      </c>
      <c r="DT16" s="7">
        <v>232</v>
      </c>
      <c r="DU16" s="7">
        <v>241</v>
      </c>
      <c r="DV16" s="7">
        <v>151</v>
      </c>
      <c r="DW16" s="7">
        <v>128</v>
      </c>
      <c r="DX16" s="7">
        <v>58</v>
      </c>
      <c r="DY16" s="7">
        <v>42</v>
      </c>
      <c r="DZ16" s="7">
        <v>62</v>
      </c>
      <c r="EA16" s="7">
        <v>54</v>
      </c>
      <c r="EB16" s="7">
        <v>12</v>
      </c>
      <c r="EC16" s="7">
        <v>19</v>
      </c>
      <c r="ED16" s="7">
        <v>18</v>
      </c>
      <c r="EE16" s="7">
        <v>13</v>
      </c>
      <c r="EF16" s="7">
        <v>72</v>
      </c>
      <c r="EG16" s="7">
        <v>58</v>
      </c>
      <c r="EH16" s="7">
        <v>245</v>
      </c>
      <c r="EI16" s="7">
        <v>165</v>
      </c>
      <c r="EJ16" s="7">
        <v>61</v>
      </c>
      <c r="EK16" s="7">
        <v>57</v>
      </c>
      <c r="EL16" s="7">
        <v>18</v>
      </c>
      <c r="EM16" s="7">
        <v>19</v>
      </c>
      <c r="EN16" s="7">
        <v>61</v>
      </c>
      <c r="EO16" s="7">
        <v>11950</v>
      </c>
      <c r="EP16" s="7">
        <v>11648</v>
      </c>
      <c r="EQ16" s="7">
        <v>302</v>
      </c>
      <c r="ER16" s="7">
        <v>3027</v>
      </c>
      <c r="ES16" s="7">
        <v>3615</v>
      </c>
      <c r="ET16" s="7">
        <v>3563</v>
      </c>
      <c r="EU16" s="7">
        <v>52</v>
      </c>
      <c r="EV16" s="7">
        <v>11605</v>
      </c>
      <c r="EW16" s="134">
        <v>17.236587724</v>
      </c>
      <c r="EX16" s="134">
        <v>28.238279362</v>
      </c>
      <c r="EY16" s="134">
        <v>20.782986950000002</v>
      </c>
      <c r="EZ16" s="134">
        <v>32.557999033000002</v>
      </c>
      <c r="FA16" s="134">
        <v>1.1841469308999999</v>
      </c>
      <c r="FB16" s="7">
        <v>2130</v>
      </c>
      <c r="FC16" s="7">
        <v>6942</v>
      </c>
      <c r="FD16" s="7">
        <v>625</v>
      </c>
      <c r="FE16" s="7">
        <v>2548</v>
      </c>
      <c r="FF16" s="7">
        <v>20</v>
      </c>
      <c r="FG16" s="7">
        <v>1743</v>
      </c>
      <c r="FH16" s="7">
        <v>1529</v>
      </c>
      <c r="FI16" s="134">
        <v>32.219671339000001</v>
      </c>
      <c r="FJ16" s="134">
        <v>29.615756403999999</v>
      </c>
      <c r="FK16" s="134">
        <v>31.875302078000001</v>
      </c>
      <c r="FL16" s="134">
        <v>6.2892701787999998</v>
      </c>
      <c r="FM16" s="151">
        <v>10528</v>
      </c>
      <c r="FN16" s="151">
        <v>10586</v>
      </c>
      <c r="FO16" s="7">
        <v>2373</v>
      </c>
      <c r="FP16" s="7">
        <v>424</v>
      </c>
      <c r="FQ16" s="7">
        <v>124</v>
      </c>
      <c r="FR16" s="7">
        <v>485</v>
      </c>
      <c r="FS16" s="7">
        <v>6644</v>
      </c>
      <c r="FT16" s="7">
        <v>69</v>
      </c>
      <c r="FU16" s="7">
        <v>434</v>
      </c>
      <c r="FV16" s="7">
        <v>448</v>
      </c>
      <c r="FW16" s="7">
        <v>10878</v>
      </c>
      <c r="FX16" s="7">
        <v>10293</v>
      </c>
      <c r="FY16" s="7">
        <v>2306</v>
      </c>
      <c r="FZ16" s="7">
        <v>454</v>
      </c>
      <c r="GA16" s="7">
        <v>116</v>
      </c>
      <c r="GB16" s="7">
        <v>471</v>
      </c>
      <c r="GC16" s="7">
        <v>7253</v>
      </c>
      <c r="GD16" s="7">
        <v>59</v>
      </c>
      <c r="GE16" s="7">
        <v>242</v>
      </c>
      <c r="GF16" s="7">
        <v>446</v>
      </c>
      <c r="GG16" s="7">
        <v>1341</v>
      </c>
      <c r="GH16" s="7">
        <v>1365</v>
      </c>
      <c r="GI16" s="7">
        <v>1251</v>
      </c>
      <c r="GJ16" s="7">
        <v>1223</v>
      </c>
      <c r="GK16" s="7">
        <v>799</v>
      </c>
      <c r="GL16" s="7">
        <v>752</v>
      </c>
      <c r="GM16" s="7">
        <v>817</v>
      </c>
      <c r="GN16" s="7">
        <v>728</v>
      </c>
      <c r="GO16" s="7">
        <v>519</v>
      </c>
      <c r="GP16" s="7">
        <v>377</v>
      </c>
      <c r="GQ16" s="7">
        <v>320</v>
      </c>
      <c r="GR16" s="7">
        <v>300</v>
      </c>
      <c r="GS16" s="7">
        <v>230</v>
      </c>
      <c r="GT16" s="7">
        <v>166</v>
      </c>
      <c r="GU16" s="7">
        <v>150</v>
      </c>
      <c r="GV16" s="7">
        <v>93</v>
      </c>
      <c r="GW16" s="7">
        <v>65</v>
      </c>
      <c r="GX16" s="7">
        <v>30</v>
      </c>
      <c r="GY16" s="7">
        <v>1236</v>
      </c>
      <c r="GZ16" s="7">
        <v>1311</v>
      </c>
      <c r="HA16" s="7">
        <v>1186</v>
      </c>
      <c r="HB16" s="7">
        <v>1039</v>
      </c>
      <c r="HC16" s="7">
        <v>978</v>
      </c>
      <c r="HD16" s="7">
        <v>971</v>
      </c>
      <c r="HE16" s="7">
        <v>960</v>
      </c>
      <c r="HF16" s="7">
        <v>773</v>
      </c>
      <c r="HG16" s="7">
        <v>518</v>
      </c>
      <c r="HH16" s="7">
        <v>475</v>
      </c>
      <c r="HI16" s="7">
        <v>363</v>
      </c>
      <c r="HJ16" s="7">
        <v>300</v>
      </c>
      <c r="HK16" s="7">
        <v>258</v>
      </c>
      <c r="HL16" s="7">
        <v>173</v>
      </c>
      <c r="HM16" s="7">
        <v>138</v>
      </c>
      <c r="HN16" s="7">
        <v>85</v>
      </c>
      <c r="HO16" s="7">
        <v>58</v>
      </c>
      <c r="HP16" s="7">
        <v>52</v>
      </c>
      <c r="HQ16" s="7">
        <v>9018</v>
      </c>
      <c r="HR16" s="7">
        <v>115</v>
      </c>
      <c r="HS16" s="7">
        <v>73</v>
      </c>
      <c r="HT16" s="7">
        <v>2</v>
      </c>
      <c r="HU16" s="7">
        <v>0</v>
      </c>
      <c r="HV16" s="7">
        <v>1</v>
      </c>
      <c r="HW16" s="7">
        <v>0</v>
      </c>
      <c r="HX16" s="7">
        <v>292</v>
      </c>
      <c r="HY16" s="7">
        <v>535</v>
      </c>
      <c r="HZ16" s="7">
        <v>1167</v>
      </c>
      <c r="IA16" s="7">
        <v>1488</v>
      </c>
      <c r="IB16" s="7">
        <v>1922</v>
      </c>
      <c r="IC16" s="7">
        <v>1642</v>
      </c>
      <c r="ID16" s="7">
        <v>1030</v>
      </c>
      <c r="IE16" s="7">
        <v>568</v>
      </c>
      <c r="IF16" s="7">
        <v>324</v>
      </c>
      <c r="IG16" s="7">
        <v>565</v>
      </c>
      <c r="IH16" s="7">
        <v>1603</v>
      </c>
      <c r="II16" s="7">
        <v>2141</v>
      </c>
      <c r="IJ16" s="7">
        <v>2220</v>
      </c>
      <c r="IK16" s="7">
        <v>1620</v>
      </c>
      <c r="IL16" s="7">
        <v>821</v>
      </c>
      <c r="IM16" s="7">
        <v>492</v>
      </c>
      <c r="IN16" s="7">
        <v>139</v>
      </c>
      <c r="IO16" s="7">
        <v>92</v>
      </c>
      <c r="IP16" s="7">
        <v>64</v>
      </c>
      <c r="IQ16" s="7">
        <v>4930</v>
      </c>
      <c r="IR16" s="7">
        <v>2753</v>
      </c>
      <c r="IS16" s="7">
        <v>1111</v>
      </c>
      <c r="IT16" s="7">
        <v>308</v>
      </c>
      <c r="IU16" s="7">
        <v>102</v>
      </c>
      <c r="IV16" s="7">
        <v>3396</v>
      </c>
      <c r="IW16" s="7">
        <v>1843</v>
      </c>
      <c r="IX16" s="7">
        <v>473</v>
      </c>
      <c r="IY16" s="7">
        <v>158</v>
      </c>
      <c r="IZ16" s="7">
        <v>2229</v>
      </c>
      <c r="JA16" s="7">
        <v>1095</v>
      </c>
      <c r="JB16" s="7">
        <v>5205</v>
      </c>
      <c r="JC16" s="7">
        <v>3028</v>
      </c>
      <c r="JD16" s="7">
        <v>17</v>
      </c>
      <c r="JE16" s="7">
        <v>4</v>
      </c>
      <c r="JF16" s="151">
        <v>8402.2961685494392</v>
      </c>
      <c r="JG16" s="151">
        <v>809.65906598852973</v>
      </c>
      <c r="JH16" s="7">
        <v>1753</v>
      </c>
      <c r="JI16" s="7">
        <v>6390</v>
      </c>
      <c r="JJ16" s="7">
        <v>1058</v>
      </c>
      <c r="JK16" s="7">
        <v>40</v>
      </c>
      <c r="JL16" s="7">
        <v>5575</v>
      </c>
      <c r="JM16" s="7">
        <v>3952</v>
      </c>
      <c r="JN16" s="7">
        <v>1973</v>
      </c>
      <c r="JO16" s="7">
        <v>6198</v>
      </c>
      <c r="JP16" s="7">
        <v>7559</v>
      </c>
      <c r="JQ16" s="7">
        <v>1111</v>
      </c>
      <c r="JR16" s="7">
        <v>818</v>
      </c>
      <c r="JS16" s="7">
        <v>5346</v>
      </c>
      <c r="JT16" s="7">
        <v>538</v>
      </c>
      <c r="JU16" s="151">
        <v>1960.7696936629047</v>
      </c>
      <c r="JV16" s="151">
        <v>6145.9088094064318</v>
      </c>
      <c r="JW16" s="151">
        <v>262.06462184623319</v>
      </c>
      <c r="JX16" s="151">
        <v>33.553043633869187</v>
      </c>
      <c r="JY16" s="7">
        <v>8279</v>
      </c>
      <c r="JZ16" s="7">
        <v>41275</v>
      </c>
      <c r="KA16" s="7">
        <v>446</v>
      </c>
      <c r="KB16" s="7">
        <v>285</v>
      </c>
      <c r="KC16" s="7">
        <v>9</v>
      </c>
      <c r="KD16" s="7">
        <v>0</v>
      </c>
      <c r="KE16" s="7">
        <v>5</v>
      </c>
      <c r="KF16" s="7">
        <v>0</v>
      </c>
      <c r="KG16" s="7">
        <v>900</v>
      </c>
      <c r="KH16" s="7">
        <v>7504</v>
      </c>
      <c r="KI16" s="7">
        <v>30209</v>
      </c>
      <c r="KJ16" s="7">
        <v>4234</v>
      </c>
      <c r="KK16" s="7">
        <v>191</v>
      </c>
      <c r="KL16" s="7">
        <v>8941</v>
      </c>
      <c r="KM16" s="7">
        <v>28025</v>
      </c>
      <c r="KN16" s="7">
        <v>1195</v>
      </c>
      <c r="KO16" s="7">
        <v>153</v>
      </c>
      <c r="KP16" s="7">
        <v>38314</v>
      </c>
      <c r="KQ16" s="7">
        <v>3692</v>
      </c>
      <c r="KR16" s="7">
        <v>5848</v>
      </c>
      <c r="KS16" s="7">
        <v>5848</v>
      </c>
      <c r="KT16" s="7">
        <v>1136</v>
      </c>
      <c r="KU16" s="7">
        <v>367</v>
      </c>
      <c r="KV16" s="7">
        <v>923</v>
      </c>
      <c r="KW16" s="7">
        <v>1</v>
      </c>
      <c r="KX16" s="7">
        <v>1113</v>
      </c>
      <c r="KY16" s="7">
        <v>331</v>
      </c>
      <c r="KZ16" s="7">
        <v>793</v>
      </c>
      <c r="LA16" s="7">
        <v>0</v>
      </c>
      <c r="LB16" s="7">
        <v>3266</v>
      </c>
      <c r="LC16" s="7">
        <v>3252</v>
      </c>
      <c r="LD16" s="7">
        <v>1798</v>
      </c>
      <c r="LE16" s="7">
        <v>2947</v>
      </c>
      <c r="LF16" s="7">
        <v>27575</v>
      </c>
      <c r="LG16" s="7">
        <v>40</v>
      </c>
      <c r="LH16" s="7">
        <v>5721</v>
      </c>
      <c r="LI16" s="7">
        <v>782</v>
      </c>
      <c r="LJ16" s="7">
        <v>2241</v>
      </c>
      <c r="LK16" s="7">
        <v>14</v>
      </c>
      <c r="LL16" s="7">
        <v>1746</v>
      </c>
      <c r="LM16" s="7">
        <v>1269</v>
      </c>
      <c r="LN16" s="7">
        <v>43</v>
      </c>
      <c r="LO16" s="7">
        <v>6092</v>
      </c>
      <c r="LP16" s="7">
        <v>611</v>
      </c>
      <c r="LQ16" s="7">
        <v>1931</v>
      </c>
      <c r="LR16" s="7">
        <v>40</v>
      </c>
      <c r="LS16" s="7">
        <v>1449</v>
      </c>
      <c r="LT16" s="7">
        <v>1004</v>
      </c>
      <c r="LU16" s="232">
        <v>6.2333017355000004</v>
      </c>
      <c r="LV16" s="232">
        <v>6.6776475790000003</v>
      </c>
      <c r="LW16" s="232">
        <v>5.7982538423000003</v>
      </c>
      <c r="LX16" s="7">
        <v>9241</v>
      </c>
      <c r="LY16" s="7">
        <v>42138</v>
      </c>
    </row>
    <row r="17" spans="1:337" x14ac:dyDescent="0.25">
      <c r="A17" t="s">
        <v>62</v>
      </c>
      <c r="B17" t="s">
        <v>63</v>
      </c>
      <c r="C17" s="7">
        <v>22722</v>
      </c>
      <c r="D17">
        <v>30642</v>
      </c>
      <c r="F17">
        <f t="shared" si="0"/>
        <v>-30642</v>
      </c>
      <c r="G17">
        <f t="shared" si="1"/>
        <v>-100</v>
      </c>
      <c r="H17">
        <v>15219</v>
      </c>
      <c r="I17">
        <v>15423</v>
      </c>
      <c r="J17">
        <v>12404</v>
      </c>
      <c r="K17">
        <v>18238</v>
      </c>
      <c r="L17" s="7">
        <v>2147</v>
      </c>
      <c r="M17" s="7">
        <v>2168</v>
      </c>
      <c r="N17" s="7">
        <v>1971</v>
      </c>
      <c r="O17" s="7">
        <v>1727</v>
      </c>
      <c r="P17" s="7">
        <v>1519</v>
      </c>
      <c r="Q17" s="7">
        <v>1126</v>
      </c>
      <c r="R17" s="7">
        <v>969</v>
      </c>
      <c r="S17" s="7">
        <v>829</v>
      </c>
      <c r="T17" s="7">
        <v>621</v>
      </c>
      <c r="U17" s="7">
        <v>600</v>
      </c>
      <c r="V17" s="7">
        <v>436</v>
      </c>
      <c r="W17" s="7">
        <v>341</v>
      </c>
      <c r="X17" s="7">
        <v>241</v>
      </c>
      <c r="Y17" s="7">
        <v>524</v>
      </c>
      <c r="Z17" s="7">
        <v>0</v>
      </c>
      <c r="AA17" s="7">
        <v>2068</v>
      </c>
      <c r="AB17" s="7">
        <v>2069</v>
      </c>
      <c r="AC17" s="7">
        <v>1910</v>
      </c>
      <c r="AD17" s="7">
        <v>1823</v>
      </c>
      <c r="AE17" s="7">
        <v>1532</v>
      </c>
      <c r="AF17" s="7">
        <v>1251</v>
      </c>
      <c r="AG17" s="7">
        <v>1059</v>
      </c>
      <c r="AH17" s="7">
        <v>895</v>
      </c>
      <c r="AI17" s="7">
        <v>670</v>
      </c>
      <c r="AJ17" s="7">
        <v>580</v>
      </c>
      <c r="AK17" s="7">
        <v>455</v>
      </c>
      <c r="AL17" s="7">
        <v>322</v>
      </c>
      <c r="AM17" s="7">
        <v>282</v>
      </c>
      <c r="AN17" s="7">
        <v>503</v>
      </c>
      <c r="AO17" s="7">
        <v>4</v>
      </c>
      <c r="AP17">
        <v>30517</v>
      </c>
      <c r="AQ17">
        <v>78</v>
      </c>
      <c r="AR17">
        <v>9</v>
      </c>
      <c r="AS17">
        <v>3</v>
      </c>
      <c r="AT17">
        <v>35</v>
      </c>
      <c r="AU17" s="7">
        <v>14193</v>
      </c>
      <c r="AV17" s="7">
        <v>7180</v>
      </c>
      <c r="AW17" s="7">
        <v>7013</v>
      </c>
      <c r="AX17" s="7">
        <v>9559</v>
      </c>
      <c r="AY17" s="7">
        <v>14193</v>
      </c>
      <c r="AZ17" s="7">
        <v>12331</v>
      </c>
      <c r="BA17" s="7">
        <v>1862</v>
      </c>
      <c r="BB17" s="7">
        <v>434</v>
      </c>
      <c r="BC17" s="7">
        <v>404</v>
      </c>
      <c r="BD17" s="7">
        <v>1151</v>
      </c>
      <c r="BE17" s="7">
        <v>1059</v>
      </c>
      <c r="BF17" s="7">
        <v>1058</v>
      </c>
      <c r="BG17" s="7">
        <v>1006</v>
      </c>
      <c r="BH17" s="7">
        <v>901</v>
      </c>
      <c r="BI17" s="7">
        <v>920</v>
      </c>
      <c r="BJ17" s="7">
        <v>746</v>
      </c>
      <c r="BK17" s="7">
        <v>765</v>
      </c>
      <c r="BL17" s="7">
        <v>574</v>
      </c>
      <c r="BM17" s="7">
        <v>564</v>
      </c>
      <c r="BN17" s="7">
        <v>466</v>
      </c>
      <c r="BO17" s="7">
        <v>515</v>
      </c>
      <c r="BP17" s="7">
        <v>391</v>
      </c>
      <c r="BQ17" s="7">
        <v>435</v>
      </c>
      <c r="BR17" s="7">
        <v>309</v>
      </c>
      <c r="BS17" s="7">
        <v>314</v>
      </c>
      <c r="BT17" s="7">
        <v>327</v>
      </c>
      <c r="BU17" s="7">
        <v>279</v>
      </c>
      <c r="BV17" s="7">
        <v>255</v>
      </c>
      <c r="BW17" s="7">
        <v>232</v>
      </c>
      <c r="BX17" s="7">
        <v>182</v>
      </c>
      <c r="BY17" s="7">
        <v>145</v>
      </c>
      <c r="BZ17" s="7">
        <v>125</v>
      </c>
      <c r="CA17" s="7">
        <v>132</v>
      </c>
      <c r="CB17" s="7">
        <v>261</v>
      </c>
      <c r="CC17" s="7">
        <v>243</v>
      </c>
      <c r="CD17" s="7">
        <v>5986</v>
      </c>
      <c r="CE17" s="7">
        <v>5222</v>
      </c>
      <c r="CF17" s="7">
        <v>1106</v>
      </c>
      <c r="CG17" s="7">
        <v>1701</v>
      </c>
      <c r="CH17" s="7">
        <v>5410</v>
      </c>
      <c r="CI17" s="7">
        <v>942</v>
      </c>
      <c r="CJ17" s="7">
        <v>27150</v>
      </c>
      <c r="CK17" s="7">
        <v>3453</v>
      </c>
      <c r="CL17" s="7">
        <v>269</v>
      </c>
      <c r="CM17" s="7">
        <v>686</v>
      </c>
      <c r="CN17" s="7">
        <v>1041</v>
      </c>
      <c r="CO17" s="7">
        <v>1243</v>
      </c>
      <c r="CP17" s="7">
        <v>1039</v>
      </c>
      <c r="CQ17" s="7">
        <v>2074</v>
      </c>
      <c r="CR17" s="7">
        <v>5170</v>
      </c>
      <c r="CS17" s="7">
        <v>16613</v>
      </c>
      <c r="CT17" s="7">
        <v>1199</v>
      </c>
      <c r="CU17" s="7">
        <v>496</v>
      </c>
      <c r="CV17" s="7">
        <v>171</v>
      </c>
      <c r="CW17" s="7">
        <v>479</v>
      </c>
      <c r="CX17" s="7">
        <v>43</v>
      </c>
      <c r="CY17" s="7">
        <v>22666</v>
      </c>
      <c r="CZ17" s="7">
        <v>7064</v>
      </c>
      <c r="DA17" s="7">
        <v>129</v>
      </c>
      <c r="DB17" s="7">
        <v>269</v>
      </c>
      <c r="DC17" s="7">
        <v>24</v>
      </c>
      <c r="DD17" s="7">
        <v>4138</v>
      </c>
      <c r="DE17" s="7">
        <v>3512</v>
      </c>
      <c r="DF17" s="7">
        <v>10588</v>
      </c>
      <c r="DG17" s="7">
        <v>0</v>
      </c>
      <c r="DH17" s="7">
        <v>0</v>
      </c>
      <c r="DI17" s="7">
        <v>12404</v>
      </c>
      <c r="DJ17" s="7">
        <v>0</v>
      </c>
      <c r="DK17" s="7">
        <v>0</v>
      </c>
      <c r="DL17" s="7">
        <v>47</v>
      </c>
      <c r="DM17" s="7">
        <v>11</v>
      </c>
      <c r="DN17" s="7">
        <v>14</v>
      </c>
      <c r="DO17" s="7">
        <v>0</v>
      </c>
      <c r="DP17" s="7">
        <v>0</v>
      </c>
      <c r="DQ17" s="7">
        <v>1</v>
      </c>
      <c r="DR17" s="7">
        <v>0</v>
      </c>
      <c r="DS17" s="7">
        <v>0</v>
      </c>
      <c r="DT17" s="7">
        <v>143</v>
      </c>
      <c r="DU17" s="7">
        <v>125</v>
      </c>
      <c r="DV17" s="7">
        <v>126</v>
      </c>
      <c r="DW17" s="7">
        <v>107</v>
      </c>
      <c r="DX17" s="7">
        <v>76</v>
      </c>
      <c r="DY17" s="7">
        <v>56</v>
      </c>
      <c r="DZ17" s="7">
        <v>63</v>
      </c>
      <c r="EA17" s="7">
        <v>63</v>
      </c>
      <c r="EB17" s="7">
        <v>22</v>
      </c>
      <c r="EC17" s="7">
        <v>21</v>
      </c>
      <c r="ED17" s="7">
        <v>14</v>
      </c>
      <c r="EE17" s="7">
        <v>15</v>
      </c>
      <c r="EF17" s="7">
        <v>32</v>
      </c>
      <c r="EG17" s="7">
        <v>31</v>
      </c>
      <c r="EH17" s="7">
        <v>105</v>
      </c>
      <c r="EI17" s="7">
        <v>127</v>
      </c>
      <c r="EJ17" s="7">
        <v>58</v>
      </c>
      <c r="EK17" s="7">
        <v>41</v>
      </c>
      <c r="EL17" s="7">
        <v>18</v>
      </c>
      <c r="EM17" s="7">
        <v>9</v>
      </c>
      <c r="EN17" s="7">
        <v>17</v>
      </c>
      <c r="EO17" s="7">
        <v>7733</v>
      </c>
      <c r="EP17" s="7">
        <v>7380</v>
      </c>
      <c r="EQ17" s="7">
        <v>353</v>
      </c>
      <c r="ER17" s="7">
        <v>2309</v>
      </c>
      <c r="ES17" s="7">
        <v>1677</v>
      </c>
      <c r="ET17" s="7">
        <v>1617</v>
      </c>
      <c r="EU17" s="7">
        <v>60</v>
      </c>
      <c r="EV17" s="7">
        <v>8757</v>
      </c>
      <c r="EW17" s="134">
        <v>47.461773700000002</v>
      </c>
      <c r="EX17" s="134">
        <v>15.657492355</v>
      </c>
      <c r="EY17" s="134">
        <v>8.5626911314999994</v>
      </c>
      <c r="EZ17" s="134">
        <v>27.706422018000001</v>
      </c>
      <c r="FA17" s="134">
        <v>0.6116207951</v>
      </c>
      <c r="FB17" s="7">
        <v>1392</v>
      </c>
      <c r="FC17" s="7">
        <v>3751</v>
      </c>
      <c r="FD17" s="7">
        <v>373</v>
      </c>
      <c r="FE17" s="7">
        <v>1663</v>
      </c>
      <c r="FF17" s="7">
        <v>7</v>
      </c>
      <c r="FG17" s="7">
        <v>1322</v>
      </c>
      <c r="FH17" s="7">
        <v>862</v>
      </c>
      <c r="FI17" s="134">
        <v>61.712538225999999</v>
      </c>
      <c r="FJ17" s="134">
        <v>15.657492355</v>
      </c>
      <c r="FK17" s="134">
        <v>20.978593272000001</v>
      </c>
      <c r="FL17" s="134">
        <v>1.6513761468000001</v>
      </c>
      <c r="FM17" s="151">
        <v>6423</v>
      </c>
      <c r="FN17" s="151">
        <v>8754</v>
      </c>
      <c r="FO17" s="7">
        <v>1939</v>
      </c>
      <c r="FP17" s="7">
        <v>605</v>
      </c>
      <c r="FQ17" s="7">
        <v>100</v>
      </c>
      <c r="FR17" s="7">
        <v>5</v>
      </c>
      <c r="FS17" s="7">
        <v>3703</v>
      </c>
      <c r="FT17" s="7">
        <v>11</v>
      </c>
      <c r="FU17" s="7">
        <v>224</v>
      </c>
      <c r="FV17" s="7">
        <v>42</v>
      </c>
      <c r="FW17" s="7">
        <v>6674</v>
      </c>
      <c r="FX17" s="7">
        <v>8695</v>
      </c>
      <c r="FY17" s="7">
        <v>1947</v>
      </c>
      <c r="FZ17" s="7">
        <v>623</v>
      </c>
      <c r="GA17" s="7">
        <v>111</v>
      </c>
      <c r="GB17" s="7">
        <v>5</v>
      </c>
      <c r="GC17" s="7">
        <v>3948</v>
      </c>
      <c r="GD17" s="7">
        <v>10</v>
      </c>
      <c r="GE17" s="7">
        <v>200</v>
      </c>
      <c r="GF17" s="7">
        <v>54</v>
      </c>
      <c r="GG17" s="7">
        <v>935</v>
      </c>
      <c r="GH17" s="7">
        <v>970</v>
      </c>
      <c r="GI17" s="7">
        <v>850</v>
      </c>
      <c r="GJ17" s="7">
        <v>604</v>
      </c>
      <c r="GK17" s="7">
        <v>537</v>
      </c>
      <c r="GL17" s="7">
        <v>462</v>
      </c>
      <c r="GM17" s="7">
        <v>459</v>
      </c>
      <c r="GN17" s="7">
        <v>369</v>
      </c>
      <c r="GO17" s="7">
        <v>280</v>
      </c>
      <c r="GP17" s="7">
        <v>268</v>
      </c>
      <c r="GQ17" s="7">
        <v>205</v>
      </c>
      <c r="GR17" s="7">
        <v>124</v>
      </c>
      <c r="GS17" s="7">
        <v>94</v>
      </c>
      <c r="GT17" s="7">
        <v>95</v>
      </c>
      <c r="GU17" s="7">
        <v>84</v>
      </c>
      <c r="GV17" s="7">
        <v>44</v>
      </c>
      <c r="GW17" s="7">
        <v>20</v>
      </c>
      <c r="GX17" s="7">
        <v>23</v>
      </c>
      <c r="GY17" s="7">
        <v>873</v>
      </c>
      <c r="GZ17" s="7">
        <v>918</v>
      </c>
      <c r="HA17" s="7">
        <v>799</v>
      </c>
      <c r="HB17" s="7">
        <v>698</v>
      </c>
      <c r="HC17" s="7">
        <v>613</v>
      </c>
      <c r="HD17" s="7">
        <v>586</v>
      </c>
      <c r="HE17" s="7">
        <v>477</v>
      </c>
      <c r="HF17" s="7">
        <v>443</v>
      </c>
      <c r="HG17" s="7">
        <v>302</v>
      </c>
      <c r="HH17" s="7">
        <v>259</v>
      </c>
      <c r="HI17" s="7">
        <v>197</v>
      </c>
      <c r="HJ17" s="7">
        <v>133</v>
      </c>
      <c r="HK17" s="7">
        <v>121</v>
      </c>
      <c r="HL17" s="7">
        <v>81</v>
      </c>
      <c r="HM17" s="7">
        <v>90</v>
      </c>
      <c r="HN17" s="7">
        <v>45</v>
      </c>
      <c r="HO17" s="7">
        <v>24</v>
      </c>
      <c r="HP17" s="7">
        <v>14</v>
      </c>
      <c r="HQ17" s="7">
        <v>6290</v>
      </c>
      <c r="HR17" s="7">
        <v>1</v>
      </c>
      <c r="HS17" s="7">
        <v>28</v>
      </c>
      <c r="HT17" s="7">
        <v>3</v>
      </c>
      <c r="HU17" s="7">
        <v>0</v>
      </c>
      <c r="HV17" s="7">
        <v>0</v>
      </c>
      <c r="HW17" s="7">
        <v>0</v>
      </c>
      <c r="HX17" s="7">
        <v>30</v>
      </c>
      <c r="HY17" s="7">
        <v>269</v>
      </c>
      <c r="HZ17" s="7">
        <v>686</v>
      </c>
      <c r="IA17" s="7">
        <v>1041</v>
      </c>
      <c r="IB17" s="7">
        <v>1243</v>
      </c>
      <c r="IC17" s="7">
        <v>1039</v>
      </c>
      <c r="ID17" s="7">
        <v>770</v>
      </c>
      <c r="IE17" s="7">
        <v>447</v>
      </c>
      <c r="IF17" s="7">
        <v>361</v>
      </c>
      <c r="IG17" s="7">
        <v>496</v>
      </c>
      <c r="IH17" s="7">
        <v>812</v>
      </c>
      <c r="II17" s="7">
        <v>2095</v>
      </c>
      <c r="IJ17" s="7">
        <v>1578</v>
      </c>
      <c r="IK17" s="7">
        <v>1026</v>
      </c>
      <c r="IL17" s="7">
        <v>507</v>
      </c>
      <c r="IM17" s="7">
        <v>170</v>
      </c>
      <c r="IN17" s="7">
        <v>68</v>
      </c>
      <c r="IO17" s="7">
        <v>25</v>
      </c>
      <c r="IP17" s="7">
        <v>10</v>
      </c>
      <c r="IQ17" s="7">
        <v>3378</v>
      </c>
      <c r="IR17" s="7">
        <v>1900</v>
      </c>
      <c r="IS17" s="7">
        <v>699</v>
      </c>
      <c r="IT17" s="7">
        <v>255</v>
      </c>
      <c r="IU17" s="7">
        <v>67</v>
      </c>
      <c r="IV17" s="7">
        <v>1735</v>
      </c>
      <c r="IW17" s="7">
        <v>3792</v>
      </c>
      <c r="IX17" s="7">
        <v>19</v>
      </c>
      <c r="IY17" s="7">
        <v>144</v>
      </c>
      <c r="IZ17" s="7">
        <v>72</v>
      </c>
      <c r="JA17" s="7">
        <v>549</v>
      </c>
      <c r="JB17" s="7">
        <v>4281</v>
      </c>
      <c r="JC17" s="7">
        <v>1025</v>
      </c>
      <c r="JD17" s="7">
        <v>447</v>
      </c>
      <c r="JE17" s="7">
        <v>185</v>
      </c>
      <c r="JF17" s="151">
        <v>5968.2186235237978</v>
      </c>
      <c r="JG17" s="151">
        <v>348.08035861617196</v>
      </c>
      <c r="JH17" s="7">
        <v>1642</v>
      </c>
      <c r="JI17" s="7">
        <v>4281</v>
      </c>
      <c r="JJ17" s="7">
        <v>363</v>
      </c>
      <c r="JK17" s="7">
        <v>66</v>
      </c>
      <c r="JL17" s="7">
        <v>2467</v>
      </c>
      <c r="JM17" s="7">
        <v>949</v>
      </c>
      <c r="JN17" s="7">
        <v>674</v>
      </c>
      <c r="JO17" s="7">
        <v>3166</v>
      </c>
      <c r="JP17" s="7">
        <v>4345</v>
      </c>
      <c r="JQ17" s="7">
        <v>438</v>
      </c>
      <c r="JR17" s="7">
        <v>439</v>
      </c>
      <c r="JS17" s="7">
        <v>2014</v>
      </c>
      <c r="JT17" s="7">
        <v>210</v>
      </c>
      <c r="JU17" s="151">
        <v>1242.0470280018919</v>
      </c>
      <c r="JV17" s="151">
        <v>3983.9322619432346</v>
      </c>
      <c r="JW17" s="151">
        <v>718.78490273572061</v>
      </c>
      <c r="JX17" s="151">
        <v>23.454430842950167</v>
      </c>
      <c r="JY17" s="7">
        <v>6208</v>
      </c>
      <c r="JZ17" s="7">
        <v>30371</v>
      </c>
      <c r="KA17" s="7">
        <v>7</v>
      </c>
      <c r="KB17" s="7">
        <v>87</v>
      </c>
      <c r="KC17" s="7">
        <v>13</v>
      </c>
      <c r="KD17" s="7">
        <v>0</v>
      </c>
      <c r="KE17" s="7">
        <v>0</v>
      </c>
      <c r="KF17" s="7">
        <v>0</v>
      </c>
      <c r="KG17" s="7">
        <v>125</v>
      </c>
      <c r="KH17" s="7">
        <v>7976</v>
      </c>
      <c r="KI17" s="7">
        <v>20857</v>
      </c>
      <c r="KJ17" s="7">
        <v>1442</v>
      </c>
      <c r="KK17" s="7">
        <v>328</v>
      </c>
      <c r="KL17" s="7">
        <v>5984</v>
      </c>
      <c r="KM17" s="7">
        <v>19194</v>
      </c>
      <c r="KN17" s="7">
        <v>3463</v>
      </c>
      <c r="KO17" s="7">
        <v>113</v>
      </c>
      <c r="KP17" s="7">
        <v>28754</v>
      </c>
      <c r="KQ17" s="7">
        <v>1677</v>
      </c>
      <c r="KR17" s="7">
        <v>5421</v>
      </c>
      <c r="KS17" s="7">
        <v>5421</v>
      </c>
      <c r="KT17" s="7">
        <v>1288</v>
      </c>
      <c r="KU17" s="7">
        <v>336</v>
      </c>
      <c r="KV17" s="7">
        <v>819</v>
      </c>
      <c r="KW17" s="7">
        <v>2</v>
      </c>
      <c r="KX17" s="7">
        <v>1245</v>
      </c>
      <c r="KY17" s="7">
        <v>332</v>
      </c>
      <c r="KZ17" s="7">
        <v>747</v>
      </c>
      <c r="LA17" s="7">
        <v>1</v>
      </c>
      <c r="LB17" s="7">
        <v>2792</v>
      </c>
      <c r="LC17" s="7">
        <v>2680</v>
      </c>
      <c r="LD17" s="7">
        <v>1342</v>
      </c>
      <c r="LE17" s="7">
        <v>2341</v>
      </c>
      <c r="LF17" s="7">
        <v>18305</v>
      </c>
      <c r="LG17" s="7">
        <v>28</v>
      </c>
      <c r="LH17" s="7">
        <v>3394</v>
      </c>
      <c r="LI17" s="7">
        <v>591</v>
      </c>
      <c r="LJ17" s="7">
        <v>1577</v>
      </c>
      <c r="LK17" s="7">
        <v>8</v>
      </c>
      <c r="LL17" s="7">
        <v>1372</v>
      </c>
      <c r="LM17" s="7">
        <v>647</v>
      </c>
      <c r="LN17" s="7">
        <v>32</v>
      </c>
      <c r="LO17" s="7">
        <v>3427</v>
      </c>
      <c r="LP17" s="7">
        <v>546</v>
      </c>
      <c r="LQ17" s="7">
        <v>1606</v>
      </c>
      <c r="LR17" s="7">
        <v>1</v>
      </c>
      <c r="LS17" s="7">
        <v>1101</v>
      </c>
      <c r="LT17" s="7">
        <v>488</v>
      </c>
      <c r="LU17" s="232">
        <v>6.2675317503999999</v>
      </c>
      <c r="LV17" s="232">
        <v>6.7026291930999999</v>
      </c>
      <c r="LW17" s="232">
        <v>5.8540814129000003</v>
      </c>
      <c r="LX17" s="7">
        <v>6352</v>
      </c>
      <c r="LY17" s="7">
        <v>30603</v>
      </c>
    </row>
    <row r="18" spans="1:337" x14ac:dyDescent="0.25">
      <c r="A18" t="s">
        <v>66</v>
      </c>
      <c r="B18" t="s">
        <v>67</v>
      </c>
      <c r="C18" s="7">
        <v>39033</v>
      </c>
      <c r="D18">
        <v>43811</v>
      </c>
      <c r="F18">
        <f t="shared" si="0"/>
        <v>-43811</v>
      </c>
      <c r="G18">
        <f t="shared" si="1"/>
        <v>-100</v>
      </c>
      <c r="H18">
        <v>21417</v>
      </c>
      <c r="I18">
        <v>22394</v>
      </c>
      <c r="J18">
        <v>19127</v>
      </c>
      <c r="K18">
        <v>24684</v>
      </c>
      <c r="L18" s="7">
        <v>2421</v>
      </c>
      <c r="M18" s="7">
        <v>2431</v>
      </c>
      <c r="N18" s="7">
        <v>2576</v>
      </c>
      <c r="O18" s="7">
        <v>2420</v>
      </c>
      <c r="P18" s="7">
        <v>1755</v>
      </c>
      <c r="Q18" s="7">
        <v>1453</v>
      </c>
      <c r="R18" s="7">
        <v>1358</v>
      </c>
      <c r="S18" s="7">
        <v>1212</v>
      </c>
      <c r="T18" s="7">
        <v>1093</v>
      </c>
      <c r="U18" s="7">
        <v>982</v>
      </c>
      <c r="V18" s="7">
        <v>917</v>
      </c>
      <c r="W18" s="7">
        <v>727</v>
      </c>
      <c r="X18" s="7">
        <v>605</v>
      </c>
      <c r="Y18" s="7">
        <v>1455</v>
      </c>
      <c r="Z18" s="7">
        <v>12</v>
      </c>
      <c r="AA18" s="7">
        <v>2277</v>
      </c>
      <c r="AB18" s="7">
        <v>2497</v>
      </c>
      <c r="AC18" s="7">
        <v>2500</v>
      </c>
      <c r="AD18" s="7">
        <v>2423</v>
      </c>
      <c r="AE18" s="7">
        <v>2005</v>
      </c>
      <c r="AF18" s="7">
        <v>1726</v>
      </c>
      <c r="AG18" s="7">
        <v>1570</v>
      </c>
      <c r="AH18" s="7">
        <v>1467</v>
      </c>
      <c r="AI18" s="7">
        <v>1179</v>
      </c>
      <c r="AJ18" s="7">
        <v>1082</v>
      </c>
      <c r="AK18" s="7">
        <v>901</v>
      </c>
      <c r="AL18" s="7">
        <v>690</v>
      </c>
      <c r="AM18" s="7">
        <v>603</v>
      </c>
      <c r="AN18" s="7">
        <v>1457</v>
      </c>
      <c r="AO18" s="7">
        <v>17</v>
      </c>
      <c r="AP18">
        <v>41993</v>
      </c>
      <c r="AQ18">
        <v>755</v>
      </c>
      <c r="AR18">
        <v>47</v>
      </c>
      <c r="AS18">
        <v>956</v>
      </c>
      <c r="AT18">
        <v>60</v>
      </c>
      <c r="AU18" s="7">
        <v>788</v>
      </c>
      <c r="AV18" s="7">
        <v>439</v>
      </c>
      <c r="AW18" s="7">
        <v>349</v>
      </c>
      <c r="AX18" s="7">
        <v>702</v>
      </c>
      <c r="AY18" s="7">
        <v>788</v>
      </c>
      <c r="AZ18" s="7">
        <v>647</v>
      </c>
      <c r="BA18" s="7">
        <v>141</v>
      </c>
      <c r="BB18" s="7">
        <v>2</v>
      </c>
      <c r="BC18" s="7">
        <v>2</v>
      </c>
      <c r="BD18" s="7">
        <v>14</v>
      </c>
      <c r="BE18" s="7">
        <v>13</v>
      </c>
      <c r="BF18" s="7">
        <v>20</v>
      </c>
      <c r="BG18" s="7">
        <v>14</v>
      </c>
      <c r="BH18" s="7">
        <v>22</v>
      </c>
      <c r="BI18" s="7">
        <v>22</v>
      </c>
      <c r="BJ18" s="7">
        <v>17</v>
      </c>
      <c r="BK18" s="7">
        <v>26</v>
      </c>
      <c r="BL18" s="7">
        <v>22</v>
      </c>
      <c r="BM18" s="7">
        <v>22</v>
      </c>
      <c r="BN18" s="7">
        <v>23</v>
      </c>
      <c r="BO18" s="7">
        <v>24</v>
      </c>
      <c r="BP18" s="7">
        <v>32</v>
      </c>
      <c r="BQ18" s="7">
        <v>21</v>
      </c>
      <c r="BR18" s="7">
        <v>39</v>
      </c>
      <c r="BS18" s="7">
        <v>34</v>
      </c>
      <c r="BT18" s="7">
        <v>42</v>
      </c>
      <c r="BU18" s="7">
        <v>26</v>
      </c>
      <c r="BV18" s="7">
        <v>34</v>
      </c>
      <c r="BW18" s="7">
        <v>19</v>
      </c>
      <c r="BX18" s="7">
        <v>33</v>
      </c>
      <c r="BY18" s="7">
        <v>17</v>
      </c>
      <c r="BZ18" s="7">
        <v>32</v>
      </c>
      <c r="CA18" s="7">
        <v>27</v>
      </c>
      <c r="CB18" s="7">
        <v>107</v>
      </c>
      <c r="CC18" s="7">
        <v>82</v>
      </c>
      <c r="CD18" s="7">
        <v>428</v>
      </c>
      <c r="CE18" s="7">
        <v>333</v>
      </c>
      <c r="CF18" s="7">
        <v>0</v>
      </c>
      <c r="CG18" s="7">
        <v>0</v>
      </c>
      <c r="CH18" s="7">
        <v>7461</v>
      </c>
      <c r="CI18" s="7">
        <v>2437</v>
      </c>
      <c r="CJ18" s="7">
        <v>34323</v>
      </c>
      <c r="CK18" s="7">
        <v>9442</v>
      </c>
      <c r="CL18" s="7">
        <v>810</v>
      </c>
      <c r="CM18" s="7">
        <v>1199</v>
      </c>
      <c r="CN18" s="7">
        <v>1610</v>
      </c>
      <c r="CO18" s="7">
        <v>1990</v>
      </c>
      <c r="CP18" s="7">
        <v>1661</v>
      </c>
      <c r="CQ18" s="7">
        <v>2628</v>
      </c>
      <c r="CR18" s="7">
        <v>6681</v>
      </c>
      <c r="CS18" s="7">
        <v>19334</v>
      </c>
      <c r="CT18" s="7">
        <v>4301</v>
      </c>
      <c r="CU18" s="7">
        <v>1142</v>
      </c>
      <c r="CV18" s="7">
        <v>438</v>
      </c>
      <c r="CW18" s="7">
        <v>1586</v>
      </c>
      <c r="CX18" s="7">
        <v>330</v>
      </c>
      <c r="CY18" s="7">
        <v>23590</v>
      </c>
      <c r="CZ18" s="7">
        <v>17810</v>
      </c>
      <c r="DA18" s="7">
        <v>1197</v>
      </c>
      <c r="DB18" s="7">
        <v>810</v>
      </c>
      <c r="DC18" s="7">
        <v>80</v>
      </c>
      <c r="DD18" s="7">
        <v>4169</v>
      </c>
      <c r="DE18" s="7">
        <v>2718</v>
      </c>
      <c r="DF18" s="7">
        <v>17797</v>
      </c>
      <c r="DG18" s="7">
        <v>2555</v>
      </c>
      <c r="DH18" s="7">
        <v>0</v>
      </c>
      <c r="DI18" s="7">
        <v>16572</v>
      </c>
      <c r="DJ18" s="7">
        <v>0</v>
      </c>
      <c r="DK18" s="7">
        <v>0</v>
      </c>
      <c r="DL18" s="7">
        <v>76</v>
      </c>
      <c r="DM18" s="7">
        <v>8</v>
      </c>
      <c r="DN18" s="7">
        <v>15</v>
      </c>
      <c r="DO18" s="7">
        <v>1</v>
      </c>
      <c r="DP18" s="7">
        <v>0</v>
      </c>
      <c r="DQ18" s="7">
        <v>1</v>
      </c>
      <c r="DR18" s="7">
        <v>0</v>
      </c>
      <c r="DS18" s="7">
        <v>0</v>
      </c>
      <c r="DT18" s="7">
        <v>315</v>
      </c>
      <c r="DU18" s="7">
        <v>286</v>
      </c>
      <c r="DV18" s="7">
        <v>211</v>
      </c>
      <c r="DW18" s="7">
        <v>213</v>
      </c>
      <c r="DX18" s="7">
        <v>103</v>
      </c>
      <c r="DY18" s="7">
        <v>65</v>
      </c>
      <c r="DZ18" s="7">
        <v>104</v>
      </c>
      <c r="EA18" s="7">
        <v>72</v>
      </c>
      <c r="EB18" s="7">
        <v>34</v>
      </c>
      <c r="EC18" s="7">
        <v>32</v>
      </c>
      <c r="ED18" s="7">
        <v>41</v>
      </c>
      <c r="EE18" s="7">
        <v>28</v>
      </c>
      <c r="EF18" s="7">
        <v>76</v>
      </c>
      <c r="EG18" s="7">
        <v>61</v>
      </c>
      <c r="EH18" s="7">
        <v>336</v>
      </c>
      <c r="EI18" s="7">
        <v>243</v>
      </c>
      <c r="EJ18" s="7">
        <v>83</v>
      </c>
      <c r="EK18" s="7">
        <v>81</v>
      </c>
      <c r="EL18" s="7">
        <v>38</v>
      </c>
      <c r="EM18" s="7">
        <v>26</v>
      </c>
      <c r="EN18" s="7">
        <v>56</v>
      </c>
      <c r="EO18" s="7">
        <v>11203</v>
      </c>
      <c r="EP18" s="7">
        <v>10667</v>
      </c>
      <c r="EQ18" s="7">
        <v>536</v>
      </c>
      <c r="ER18" s="7">
        <v>4265</v>
      </c>
      <c r="ES18" s="7">
        <v>3029</v>
      </c>
      <c r="ET18" s="7">
        <v>2967</v>
      </c>
      <c r="EU18" s="7">
        <v>62</v>
      </c>
      <c r="EV18" s="7">
        <v>13543</v>
      </c>
      <c r="EW18" s="134">
        <v>31.437451437</v>
      </c>
      <c r="EX18" s="134">
        <v>14.972804973000001</v>
      </c>
      <c r="EY18" s="134">
        <v>15.617715618</v>
      </c>
      <c r="EZ18" s="134">
        <v>37.676767677000001</v>
      </c>
      <c r="FA18" s="134">
        <v>0.29526029529999998</v>
      </c>
      <c r="FB18" s="7">
        <v>1583</v>
      </c>
      <c r="FC18" s="7">
        <v>5151</v>
      </c>
      <c r="FD18" s="7">
        <v>356</v>
      </c>
      <c r="FE18" s="7">
        <v>3250</v>
      </c>
      <c r="FF18" s="7">
        <v>14</v>
      </c>
      <c r="FG18" s="7">
        <v>2173</v>
      </c>
      <c r="FH18" s="7">
        <v>1662</v>
      </c>
      <c r="FI18" s="134">
        <v>45.159285159</v>
      </c>
      <c r="FJ18" s="134">
        <v>28.096348096</v>
      </c>
      <c r="FK18" s="134">
        <v>24.677544678</v>
      </c>
      <c r="FL18" s="134">
        <v>2.0668220667999999</v>
      </c>
      <c r="FM18" s="151">
        <v>9982</v>
      </c>
      <c r="FN18" s="151">
        <v>11411</v>
      </c>
      <c r="FO18" s="7">
        <v>2391</v>
      </c>
      <c r="FP18" s="7">
        <v>1023</v>
      </c>
      <c r="FQ18" s="7">
        <v>236</v>
      </c>
      <c r="FR18" s="7">
        <v>300</v>
      </c>
      <c r="FS18" s="7">
        <v>5907</v>
      </c>
      <c r="FT18" s="7">
        <v>80</v>
      </c>
      <c r="FU18" s="7">
        <v>122</v>
      </c>
      <c r="FV18" s="7">
        <v>24</v>
      </c>
      <c r="FW18" s="7">
        <v>11643</v>
      </c>
      <c r="FX18" s="7">
        <v>10734</v>
      </c>
      <c r="FY18" s="7">
        <v>2800</v>
      </c>
      <c r="FZ18" s="7">
        <v>1181</v>
      </c>
      <c r="GA18" s="7">
        <v>266</v>
      </c>
      <c r="GB18" s="7">
        <v>271</v>
      </c>
      <c r="GC18" s="7">
        <v>7000</v>
      </c>
      <c r="GD18" s="7">
        <v>81</v>
      </c>
      <c r="GE18" s="7">
        <v>106</v>
      </c>
      <c r="GF18" s="7">
        <v>17</v>
      </c>
      <c r="GG18" s="7">
        <v>1167</v>
      </c>
      <c r="GH18" s="7">
        <v>1195</v>
      </c>
      <c r="GI18" s="7">
        <v>1251</v>
      </c>
      <c r="GJ18" s="7">
        <v>1095</v>
      </c>
      <c r="GK18" s="7">
        <v>587</v>
      </c>
      <c r="GL18" s="7">
        <v>556</v>
      </c>
      <c r="GM18" s="7">
        <v>586</v>
      </c>
      <c r="GN18" s="7">
        <v>572</v>
      </c>
      <c r="GO18" s="7">
        <v>543</v>
      </c>
      <c r="GP18" s="7">
        <v>473</v>
      </c>
      <c r="GQ18" s="7">
        <v>434</v>
      </c>
      <c r="GR18" s="7">
        <v>336</v>
      </c>
      <c r="GS18" s="7">
        <v>288</v>
      </c>
      <c r="GT18" s="7">
        <v>264</v>
      </c>
      <c r="GU18" s="7">
        <v>265</v>
      </c>
      <c r="GV18" s="7">
        <v>169</v>
      </c>
      <c r="GW18" s="7">
        <v>106</v>
      </c>
      <c r="GX18" s="7">
        <v>93</v>
      </c>
      <c r="GY18" s="7">
        <v>1128</v>
      </c>
      <c r="GZ18" s="7">
        <v>1225</v>
      </c>
      <c r="HA18" s="7">
        <v>1239</v>
      </c>
      <c r="HB18" s="7">
        <v>1193</v>
      </c>
      <c r="HC18" s="7">
        <v>873</v>
      </c>
      <c r="HD18" s="7">
        <v>807</v>
      </c>
      <c r="HE18" s="7">
        <v>861</v>
      </c>
      <c r="HF18" s="7">
        <v>832</v>
      </c>
      <c r="HG18" s="7">
        <v>647</v>
      </c>
      <c r="HH18" s="7">
        <v>594</v>
      </c>
      <c r="HI18" s="7">
        <v>509</v>
      </c>
      <c r="HJ18" s="7">
        <v>391</v>
      </c>
      <c r="HK18" s="7">
        <v>371</v>
      </c>
      <c r="HL18" s="7">
        <v>279</v>
      </c>
      <c r="HM18" s="7">
        <v>262</v>
      </c>
      <c r="HN18" s="7">
        <v>201</v>
      </c>
      <c r="HO18" s="7">
        <v>133</v>
      </c>
      <c r="HP18" s="7">
        <v>94</v>
      </c>
      <c r="HQ18" s="7">
        <v>9773</v>
      </c>
      <c r="HR18" s="7">
        <v>7</v>
      </c>
      <c r="HS18" s="7">
        <v>95</v>
      </c>
      <c r="HT18" s="7">
        <v>1</v>
      </c>
      <c r="HU18" s="7">
        <v>2</v>
      </c>
      <c r="HV18" s="7">
        <v>2</v>
      </c>
      <c r="HW18" s="7">
        <v>0</v>
      </c>
      <c r="HX18" s="7">
        <v>21</v>
      </c>
      <c r="HY18" s="7">
        <v>810</v>
      </c>
      <c r="HZ18" s="7">
        <v>1199</v>
      </c>
      <c r="IA18" s="7">
        <v>1610</v>
      </c>
      <c r="IB18" s="7">
        <v>1988</v>
      </c>
      <c r="IC18" s="7">
        <v>1661</v>
      </c>
      <c r="ID18" s="7">
        <v>1113</v>
      </c>
      <c r="IE18" s="7">
        <v>588</v>
      </c>
      <c r="IF18" s="7">
        <v>394</v>
      </c>
      <c r="IG18" s="7">
        <v>531</v>
      </c>
      <c r="IH18" s="7">
        <v>1470</v>
      </c>
      <c r="II18" s="7">
        <v>2700</v>
      </c>
      <c r="IJ18" s="7">
        <v>2149</v>
      </c>
      <c r="IK18" s="7">
        <v>1800</v>
      </c>
      <c r="IL18" s="7">
        <v>1049</v>
      </c>
      <c r="IM18" s="7">
        <v>455</v>
      </c>
      <c r="IN18" s="7">
        <v>149</v>
      </c>
      <c r="IO18" s="7">
        <v>54</v>
      </c>
      <c r="IP18" s="7">
        <v>50</v>
      </c>
      <c r="IQ18" s="7">
        <v>4895</v>
      </c>
      <c r="IR18" s="7">
        <v>3190</v>
      </c>
      <c r="IS18" s="7">
        <v>1375</v>
      </c>
      <c r="IT18" s="7">
        <v>344</v>
      </c>
      <c r="IU18" s="7">
        <v>78</v>
      </c>
      <c r="IV18" s="7">
        <v>6163</v>
      </c>
      <c r="IW18" s="7">
        <v>2734</v>
      </c>
      <c r="IX18" s="7">
        <v>156</v>
      </c>
      <c r="IY18" s="7">
        <v>143</v>
      </c>
      <c r="IZ18" s="7">
        <v>3</v>
      </c>
      <c r="JA18" s="7">
        <v>668</v>
      </c>
      <c r="JB18" s="7">
        <v>5146</v>
      </c>
      <c r="JC18" s="7">
        <v>2748</v>
      </c>
      <c r="JD18" s="7">
        <v>119</v>
      </c>
      <c r="JE18" s="7">
        <v>1251</v>
      </c>
      <c r="JF18" s="151">
        <v>9639.9493396055732</v>
      </c>
      <c r="JG18" s="151">
        <v>234.53048670164648</v>
      </c>
      <c r="JH18" s="7">
        <v>1074</v>
      </c>
      <c r="JI18" s="7">
        <v>8141</v>
      </c>
      <c r="JJ18" s="7">
        <v>659</v>
      </c>
      <c r="JK18" s="7">
        <v>20</v>
      </c>
      <c r="JL18" s="7">
        <v>6117</v>
      </c>
      <c r="JM18" s="7">
        <v>2621</v>
      </c>
      <c r="JN18" s="7">
        <v>1593</v>
      </c>
      <c r="JO18" s="7">
        <v>7448</v>
      </c>
      <c r="JP18" s="7">
        <v>8313</v>
      </c>
      <c r="JQ18" s="7">
        <v>1020</v>
      </c>
      <c r="JR18" s="7">
        <v>1868</v>
      </c>
      <c r="JS18" s="7">
        <v>5199</v>
      </c>
      <c r="JT18" s="7">
        <v>357</v>
      </c>
      <c r="JU18" s="151">
        <v>1244.1197756468248</v>
      </c>
      <c r="JV18" s="151">
        <v>7869.5494843495571</v>
      </c>
      <c r="JW18" s="151">
        <v>517.68590555455046</v>
      </c>
      <c r="JX18" s="151">
        <v>8.5941740546408543</v>
      </c>
      <c r="JY18" s="7">
        <v>9651</v>
      </c>
      <c r="JZ18" s="7">
        <v>43344</v>
      </c>
      <c r="KA18" s="7">
        <v>15</v>
      </c>
      <c r="KB18" s="7">
        <v>298</v>
      </c>
      <c r="KC18" s="7">
        <v>6</v>
      </c>
      <c r="KD18" s="7">
        <v>8</v>
      </c>
      <c r="KE18" s="7">
        <v>13</v>
      </c>
      <c r="KF18" s="7">
        <v>0</v>
      </c>
      <c r="KG18" s="7">
        <v>90</v>
      </c>
      <c r="KH18" s="7">
        <v>4964</v>
      </c>
      <c r="KI18" s="7">
        <v>36071</v>
      </c>
      <c r="KJ18" s="7">
        <v>2626</v>
      </c>
      <c r="KK18" s="7">
        <v>83</v>
      </c>
      <c r="KL18" s="7">
        <v>5501</v>
      </c>
      <c r="KM18" s="7">
        <v>34796</v>
      </c>
      <c r="KN18" s="7">
        <v>2289</v>
      </c>
      <c r="KO18" s="7">
        <v>38</v>
      </c>
      <c r="KP18" s="7">
        <v>42624</v>
      </c>
      <c r="KQ18" s="7">
        <v>1037</v>
      </c>
      <c r="KR18" s="7">
        <v>6645</v>
      </c>
      <c r="KS18" s="7">
        <v>6645</v>
      </c>
      <c r="KT18" s="7">
        <v>1048</v>
      </c>
      <c r="KU18" s="7">
        <v>418</v>
      </c>
      <c r="KV18" s="7">
        <v>1299</v>
      </c>
      <c r="KW18" s="7">
        <v>0</v>
      </c>
      <c r="KX18" s="7">
        <v>1066</v>
      </c>
      <c r="KY18" s="7">
        <v>446</v>
      </c>
      <c r="KZ18" s="7">
        <v>1299</v>
      </c>
      <c r="LA18" s="7">
        <v>0</v>
      </c>
      <c r="LB18" s="7">
        <v>3789</v>
      </c>
      <c r="LC18" s="7">
        <v>3846</v>
      </c>
      <c r="LD18" s="7">
        <v>1526</v>
      </c>
      <c r="LE18" s="7">
        <v>2641</v>
      </c>
      <c r="LF18" s="7">
        <v>29080</v>
      </c>
      <c r="LG18" s="7">
        <v>32</v>
      </c>
      <c r="LH18" s="7">
        <v>4904</v>
      </c>
      <c r="LI18" s="7">
        <v>710</v>
      </c>
      <c r="LJ18" s="7">
        <v>3060</v>
      </c>
      <c r="LK18" s="7">
        <v>7</v>
      </c>
      <c r="LL18" s="7">
        <v>2327</v>
      </c>
      <c r="LM18" s="7">
        <v>1300</v>
      </c>
      <c r="LN18" s="7">
        <v>34</v>
      </c>
      <c r="LO18" s="7">
        <v>5069</v>
      </c>
      <c r="LP18" s="7">
        <v>655</v>
      </c>
      <c r="LQ18" s="7">
        <v>3169</v>
      </c>
      <c r="LR18" s="7">
        <v>15</v>
      </c>
      <c r="LS18" s="7">
        <v>2418</v>
      </c>
      <c r="LT18" s="7">
        <v>1166</v>
      </c>
      <c r="LU18" s="232">
        <v>6.9797133560000004</v>
      </c>
      <c r="LV18" s="232">
        <v>7.2522327859000004</v>
      </c>
      <c r="LW18" s="232">
        <v>6.7275029996000004</v>
      </c>
      <c r="LX18" s="7">
        <v>9894</v>
      </c>
      <c r="LY18" s="7">
        <v>43744</v>
      </c>
    </row>
    <row r="19" spans="1:337" x14ac:dyDescent="0.25">
      <c r="A19" t="s">
        <v>274</v>
      </c>
      <c r="B19" t="s">
        <v>275</v>
      </c>
      <c r="C19" s="7" t="s">
        <v>390</v>
      </c>
      <c r="D19" t="s">
        <v>358</v>
      </c>
      <c r="F19" t="e">
        <f t="shared" si="0"/>
        <v>#VALUE!</v>
      </c>
      <c r="G19" t="e">
        <f t="shared" si="1"/>
        <v>#VALUE!</v>
      </c>
      <c r="H19" t="s">
        <v>358</v>
      </c>
      <c r="I19" t="s">
        <v>358</v>
      </c>
      <c r="J19" t="s">
        <v>358</v>
      </c>
      <c r="K19" t="s">
        <v>358</v>
      </c>
      <c r="AP19" t="s">
        <v>358</v>
      </c>
      <c r="AQ19" t="s">
        <v>358</v>
      </c>
      <c r="AR19" t="s">
        <v>358</v>
      </c>
      <c r="AS19" t="s">
        <v>358</v>
      </c>
      <c r="AT19" t="s">
        <v>358</v>
      </c>
      <c r="AU19" s="7">
        <v>0</v>
      </c>
      <c r="AV19" s="7">
        <v>0</v>
      </c>
      <c r="AW19" s="7">
        <v>0</v>
      </c>
      <c r="AX19" s="7" t="s">
        <v>390</v>
      </c>
      <c r="AY19" s="7" t="s">
        <v>390</v>
      </c>
      <c r="AZ19" s="7" t="s">
        <v>390</v>
      </c>
      <c r="BA19" s="7" t="s">
        <v>390</v>
      </c>
      <c r="BB19" s="7">
        <v>103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0</v>
      </c>
      <c r="ES19" s="7">
        <v>0</v>
      </c>
      <c r="ET19" s="7">
        <v>0</v>
      </c>
      <c r="EU19" s="7">
        <v>0</v>
      </c>
      <c r="EV19" s="7">
        <v>0</v>
      </c>
      <c r="EW19" s="134">
        <v>0</v>
      </c>
      <c r="EX19" s="134">
        <v>0</v>
      </c>
      <c r="EY19" s="134">
        <v>0</v>
      </c>
      <c r="EZ19" s="134">
        <v>0</v>
      </c>
      <c r="FA19" s="134">
        <v>0</v>
      </c>
      <c r="FB19" s="7">
        <v>0</v>
      </c>
      <c r="FC19" s="7">
        <v>0</v>
      </c>
      <c r="FD19" s="7">
        <v>0</v>
      </c>
      <c r="FE19" s="7">
        <v>0</v>
      </c>
      <c r="FF19" s="7">
        <v>0</v>
      </c>
      <c r="FG19" s="7">
        <v>0</v>
      </c>
      <c r="FH19" s="7">
        <v>0</v>
      </c>
      <c r="FI19" s="134">
        <v>0</v>
      </c>
      <c r="FJ19" s="134">
        <v>0</v>
      </c>
      <c r="FK19" s="134">
        <v>0</v>
      </c>
      <c r="FL19" s="134">
        <v>0</v>
      </c>
      <c r="FM19" s="151">
        <v>0</v>
      </c>
      <c r="FN19" s="151">
        <v>0</v>
      </c>
      <c r="FO19" s="7">
        <v>0</v>
      </c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7">
        <v>0</v>
      </c>
      <c r="FV19" s="7">
        <v>0</v>
      </c>
      <c r="FW19" s="7">
        <v>0</v>
      </c>
      <c r="FX19" s="7">
        <v>0</v>
      </c>
      <c r="FY19" s="7">
        <v>0</v>
      </c>
      <c r="FZ19" s="7">
        <v>0</v>
      </c>
      <c r="GA19" s="7">
        <v>0</v>
      </c>
      <c r="GB19" s="7">
        <v>0</v>
      </c>
      <c r="GC19" s="7">
        <v>0</v>
      </c>
      <c r="GD19" s="7">
        <v>0</v>
      </c>
      <c r="GE19" s="7">
        <v>0</v>
      </c>
      <c r="GF19" s="7">
        <v>0</v>
      </c>
      <c r="GG19" s="7">
        <v>0</v>
      </c>
      <c r="GH19" s="7">
        <v>0</v>
      </c>
      <c r="GI19" s="7">
        <v>0</v>
      </c>
      <c r="GJ19" s="7">
        <v>0</v>
      </c>
      <c r="GK19" s="7">
        <v>0</v>
      </c>
      <c r="GL19" s="7">
        <v>0</v>
      </c>
      <c r="GM19" s="7">
        <v>0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>
        <v>0</v>
      </c>
      <c r="IA19" s="7">
        <v>0</v>
      </c>
      <c r="IB19" s="7">
        <v>0</v>
      </c>
      <c r="IC19" s="7">
        <v>0</v>
      </c>
      <c r="ID19" s="7">
        <v>0</v>
      </c>
      <c r="IE19" s="7">
        <v>0</v>
      </c>
      <c r="IF19" s="7">
        <v>0</v>
      </c>
      <c r="IG19" s="7">
        <v>0</v>
      </c>
      <c r="IH19" s="7">
        <v>0</v>
      </c>
      <c r="II19" s="7">
        <v>0</v>
      </c>
      <c r="IJ19" s="7">
        <v>0</v>
      </c>
      <c r="IK19" s="7">
        <v>0</v>
      </c>
      <c r="IL19" s="7">
        <v>0</v>
      </c>
      <c r="IM19" s="7">
        <v>0</v>
      </c>
      <c r="IN19" s="7">
        <v>0</v>
      </c>
      <c r="IO19" s="7">
        <v>0</v>
      </c>
      <c r="IP19" s="7">
        <v>0</v>
      </c>
      <c r="IQ19" s="7">
        <v>0</v>
      </c>
      <c r="IR19" s="7">
        <v>0</v>
      </c>
      <c r="IS19" s="7">
        <v>0</v>
      </c>
      <c r="IT19" s="7">
        <v>0</v>
      </c>
      <c r="IU19" s="7">
        <v>0</v>
      </c>
      <c r="IV19" s="7">
        <v>0</v>
      </c>
      <c r="IW19" s="7">
        <v>0</v>
      </c>
      <c r="IX19" s="7">
        <v>0</v>
      </c>
      <c r="IY19" s="7">
        <v>0</v>
      </c>
      <c r="IZ19" s="7">
        <v>0</v>
      </c>
      <c r="JA19" s="7">
        <v>0</v>
      </c>
      <c r="JB19" s="7">
        <v>0</v>
      </c>
      <c r="JC19" s="7">
        <v>0</v>
      </c>
      <c r="JD19" s="7">
        <v>0</v>
      </c>
      <c r="JE19" s="7">
        <v>0</v>
      </c>
      <c r="JF19" s="151">
        <v>0</v>
      </c>
      <c r="JG19" s="151">
        <v>0</v>
      </c>
      <c r="JH19" s="7">
        <v>0</v>
      </c>
      <c r="JI19" s="7">
        <v>0</v>
      </c>
      <c r="JJ19" s="7">
        <v>0</v>
      </c>
      <c r="JK19" s="7">
        <v>0</v>
      </c>
      <c r="JL19" s="7">
        <v>0</v>
      </c>
      <c r="JM19" s="7">
        <v>0</v>
      </c>
      <c r="JN19" s="7">
        <v>0</v>
      </c>
      <c r="JO19" s="7">
        <v>0</v>
      </c>
      <c r="JP19" s="7">
        <v>0</v>
      </c>
      <c r="JQ19" s="7">
        <v>0</v>
      </c>
      <c r="JR19" s="7">
        <v>0</v>
      </c>
      <c r="JS19" s="7">
        <v>0</v>
      </c>
      <c r="JT19" s="7">
        <v>0</v>
      </c>
      <c r="JU19" s="151">
        <v>0</v>
      </c>
      <c r="JV19" s="151">
        <v>0</v>
      </c>
      <c r="JW19" s="151">
        <v>0</v>
      </c>
      <c r="JX19" s="151">
        <v>0</v>
      </c>
      <c r="JY19" s="7">
        <v>0</v>
      </c>
      <c r="JZ19" s="7">
        <v>0</v>
      </c>
      <c r="KA19" s="7">
        <v>0</v>
      </c>
      <c r="KB19" s="7">
        <v>0</v>
      </c>
      <c r="KC19" s="7">
        <v>0</v>
      </c>
      <c r="KD19" s="7">
        <v>0</v>
      </c>
      <c r="KE19" s="7">
        <v>0</v>
      </c>
      <c r="KF19" s="7">
        <v>0</v>
      </c>
      <c r="KG19" s="7">
        <v>0</v>
      </c>
      <c r="KH19" s="7">
        <v>0</v>
      </c>
      <c r="KI19" s="7">
        <v>0</v>
      </c>
      <c r="KJ19" s="7">
        <v>0</v>
      </c>
      <c r="KK19" s="7">
        <v>0</v>
      </c>
      <c r="KL19" s="7">
        <v>0</v>
      </c>
      <c r="KM19" s="7">
        <v>0</v>
      </c>
      <c r="KN19" s="7">
        <v>0</v>
      </c>
      <c r="KO19" s="7">
        <v>0</v>
      </c>
      <c r="KP19" s="7">
        <v>0</v>
      </c>
      <c r="KQ19" s="7">
        <v>0</v>
      </c>
      <c r="KR19" s="7">
        <v>0</v>
      </c>
      <c r="KS19" s="7">
        <v>0</v>
      </c>
      <c r="KT19" s="7">
        <v>0</v>
      </c>
      <c r="KU19" s="7">
        <v>0</v>
      </c>
      <c r="KV19" s="7">
        <v>0</v>
      </c>
      <c r="KW19" s="7">
        <v>0</v>
      </c>
      <c r="KX19" s="7">
        <v>0</v>
      </c>
      <c r="KY19" s="7">
        <v>0</v>
      </c>
      <c r="KZ19" s="7">
        <v>0</v>
      </c>
      <c r="LA19" s="7">
        <v>0</v>
      </c>
      <c r="LB19" s="7">
        <v>0</v>
      </c>
      <c r="LC19" s="7">
        <v>0</v>
      </c>
      <c r="LD19" s="7">
        <v>0</v>
      </c>
      <c r="LE19" s="7">
        <v>0</v>
      </c>
      <c r="LF19" s="7">
        <v>0</v>
      </c>
      <c r="LG19" s="7">
        <v>0</v>
      </c>
      <c r="LH19" s="7">
        <v>0</v>
      </c>
      <c r="LI19" s="7">
        <v>0</v>
      </c>
      <c r="LJ19" s="7">
        <v>0</v>
      </c>
      <c r="LK19" s="7">
        <v>0</v>
      </c>
      <c r="LL19" s="7">
        <v>0</v>
      </c>
      <c r="LM19" s="7">
        <v>0</v>
      </c>
      <c r="LN19" s="7">
        <v>0</v>
      </c>
      <c r="LO19" s="7">
        <v>0</v>
      </c>
      <c r="LP19" s="7">
        <v>0</v>
      </c>
      <c r="LQ19" s="7">
        <v>0</v>
      </c>
      <c r="LR19" s="7">
        <v>0</v>
      </c>
      <c r="LS19" s="7">
        <v>0</v>
      </c>
      <c r="LT19" s="7">
        <v>0</v>
      </c>
      <c r="LU19" s="232">
        <v>0</v>
      </c>
      <c r="LV19" s="232">
        <v>0</v>
      </c>
      <c r="LW19" s="232">
        <v>0</v>
      </c>
      <c r="LX19" s="7">
        <v>0</v>
      </c>
      <c r="LY19" s="7">
        <v>0</v>
      </c>
    </row>
    <row r="20" spans="1:337" x14ac:dyDescent="0.25">
      <c r="A20" t="s">
        <v>68</v>
      </c>
      <c r="B20" t="s">
        <v>69</v>
      </c>
      <c r="C20" s="7">
        <v>15709</v>
      </c>
      <c r="D20">
        <v>17140</v>
      </c>
      <c r="F20">
        <f t="shared" si="0"/>
        <v>-17140</v>
      </c>
      <c r="G20">
        <f t="shared" si="1"/>
        <v>-100</v>
      </c>
      <c r="H20">
        <v>8747</v>
      </c>
      <c r="I20">
        <v>8393</v>
      </c>
      <c r="J20">
        <v>2973</v>
      </c>
      <c r="K20">
        <v>14167</v>
      </c>
      <c r="L20" s="7">
        <v>726</v>
      </c>
      <c r="M20" s="7">
        <v>815</v>
      </c>
      <c r="N20" s="7">
        <v>834</v>
      </c>
      <c r="O20" s="7">
        <v>930</v>
      </c>
      <c r="P20" s="7">
        <v>676</v>
      </c>
      <c r="Q20" s="7">
        <v>618</v>
      </c>
      <c r="R20" s="7">
        <v>608</v>
      </c>
      <c r="S20" s="7">
        <v>621</v>
      </c>
      <c r="T20" s="7">
        <v>535</v>
      </c>
      <c r="U20" s="7">
        <v>443</v>
      </c>
      <c r="V20" s="7">
        <v>453</v>
      </c>
      <c r="W20" s="7">
        <v>389</v>
      </c>
      <c r="X20" s="7">
        <v>340</v>
      </c>
      <c r="Y20" s="7">
        <v>739</v>
      </c>
      <c r="Z20" s="7">
        <v>20</v>
      </c>
      <c r="AA20" s="7">
        <v>689</v>
      </c>
      <c r="AB20" s="7">
        <v>768</v>
      </c>
      <c r="AC20" s="7">
        <v>867</v>
      </c>
      <c r="AD20" s="7">
        <v>815</v>
      </c>
      <c r="AE20" s="7">
        <v>665</v>
      </c>
      <c r="AF20" s="7">
        <v>637</v>
      </c>
      <c r="AG20" s="7">
        <v>619</v>
      </c>
      <c r="AH20" s="7">
        <v>640</v>
      </c>
      <c r="AI20" s="7">
        <v>492</v>
      </c>
      <c r="AJ20" s="7">
        <v>434</v>
      </c>
      <c r="AK20" s="7">
        <v>442</v>
      </c>
      <c r="AL20" s="7">
        <v>370</v>
      </c>
      <c r="AM20" s="7">
        <v>272</v>
      </c>
      <c r="AN20" s="7">
        <v>665</v>
      </c>
      <c r="AO20" s="7">
        <v>18</v>
      </c>
      <c r="AP20">
        <v>15739</v>
      </c>
      <c r="AQ20">
        <v>1317</v>
      </c>
      <c r="AR20">
        <v>9</v>
      </c>
      <c r="AS20">
        <v>13</v>
      </c>
      <c r="AT20">
        <v>62</v>
      </c>
      <c r="AU20" s="7">
        <v>451</v>
      </c>
      <c r="AV20" s="7">
        <v>278</v>
      </c>
      <c r="AW20" s="7">
        <v>173</v>
      </c>
      <c r="AX20" s="7">
        <v>282</v>
      </c>
      <c r="AY20" s="7">
        <v>451</v>
      </c>
      <c r="AZ20" s="7">
        <v>394</v>
      </c>
      <c r="BA20" s="7">
        <v>57</v>
      </c>
      <c r="BB20" s="7">
        <v>7</v>
      </c>
      <c r="BC20" s="7">
        <v>6</v>
      </c>
      <c r="BD20" s="7">
        <v>14</v>
      </c>
      <c r="BE20" s="7">
        <v>21</v>
      </c>
      <c r="BF20" s="7">
        <v>20</v>
      </c>
      <c r="BG20" s="7">
        <v>17</v>
      </c>
      <c r="BH20" s="7">
        <v>22</v>
      </c>
      <c r="BI20" s="7">
        <v>15</v>
      </c>
      <c r="BJ20" s="7">
        <v>42</v>
      </c>
      <c r="BK20" s="7">
        <v>19</v>
      </c>
      <c r="BL20" s="7">
        <v>46</v>
      </c>
      <c r="BM20" s="7">
        <v>18</v>
      </c>
      <c r="BN20" s="7">
        <v>30</v>
      </c>
      <c r="BO20" s="7">
        <v>22</v>
      </c>
      <c r="BP20" s="7">
        <v>17</v>
      </c>
      <c r="BQ20" s="7">
        <v>22</v>
      </c>
      <c r="BR20" s="7">
        <v>20</v>
      </c>
      <c r="BS20" s="7">
        <v>6</v>
      </c>
      <c r="BT20" s="7">
        <v>18</v>
      </c>
      <c r="BU20" s="7">
        <v>5</v>
      </c>
      <c r="BV20" s="7">
        <v>7</v>
      </c>
      <c r="BW20" s="7">
        <v>7</v>
      </c>
      <c r="BX20" s="7">
        <v>9</v>
      </c>
      <c r="BY20" s="7">
        <v>4</v>
      </c>
      <c r="BZ20" s="7">
        <v>12</v>
      </c>
      <c r="CA20" s="7">
        <v>2</v>
      </c>
      <c r="CB20" s="7">
        <v>14</v>
      </c>
      <c r="CC20" s="7">
        <v>9</v>
      </c>
      <c r="CD20" s="7">
        <v>263</v>
      </c>
      <c r="CE20" s="7">
        <v>154</v>
      </c>
      <c r="CF20" s="7">
        <v>2</v>
      </c>
      <c r="CG20" s="7">
        <v>7</v>
      </c>
      <c r="CH20" s="7">
        <v>3466</v>
      </c>
      <c r="CI20" s="7">
        <v>752</v>
      </c>
      <c r="CJ20" s="7">
        <v>14359</v>
      </c>
      <c r="CK20" s="7">
        <v>2469</v>
      </c>
      <c r="CL20" s="7">
        <v>328</v>
      </c>
      <c r="CM20" s="7">
        <v>700</v>
      </c>
      <c r="CN20" s="7">
        <v>797</v>
      </c>
      <c r="CO20" s="7">
        <v>945</v>
      </c>
      <c r="CP20" s="7">
        <v>673</v>
      </c>
      <c r="CQ20" s="7">
        <v>775</v>
      </c>
      <c r="CR20" s="7">
        <v>3172</v>
      </c>
      <c r="CS20" s="7">
        <v>6688</v>
      </c>
      <c r="CT20" s="7">
        <v>1486</v>
      </c>
      <c r="CU20" s="7">
        <v>490</v>
      </c>
      <c r="CV20" s="7">
        <v>200</v>
      </c>
      <c r="CW20" s="7">
        <v>467</v>
      </c>
      <c r="CX20" s="7">
        <v>51</v>
      </c>
      <c r="CY20" s="7">
        <v>9649</v>
      </c>
      <c r="CZ20" s="7">
        <v>6386</v>
      </c>
      <c r="DA20" s="7">
        <v>190</v>
      </c>
      <c r="DB20" s="7">
        <v>328</v>
      </c>
      <c r="DC20" s="7">
        <v>20</v>
      </c>
      <c r="DD20" s="7">
        <v>5059</v>
      </c>
      <c r="DE20" s="7">
        <v>2653</v>
      </c>
      <c r="DF20" s="7">
        <v>6455</v>
      </c>
      <c r="DG20" s="7">
        <v>2973</v>
      </c>
      <c r="DH20" s="7">
        <v>0</v>
      </c>
      <c r="DI20" s="7">
        <v>0</v>
      </c>
      <c r="DJ20" s="7">
        <v>0</v>
      </c>
      <c r="DK20" s="7">
        <v>0</v>
      </c>
      <c r="DL20" s="7">
        <v>157</v>
      </c>
      <c r="DM20" s="7">
        <v>7</v>
      </c>
      <c r="DN20" s="7">
        <v>8</v>
      </c>
      <c r="DO20" s="7">
        <v>1</v>
      </c>
      <c r="DP20" s="7">
        <v>0</v>
      </c>
      <c r="DQ20" s="7">
        <v>0</v>
      </c>
      <c r="DR20" s="7">
        <v>0</v>
      </c>
      <c r="DS20" s="7">
        <v>0</v>
      </c>
      <c r="DT20" s="7">
        <v>166</v>
      </c>
      <c r="DU20" s="7">
        <v>189</v>
      </c>
      <c r="DV20" s="7">
        <v>91</v>
      </c>
      <c r="DW20" s="7">
        <v>64</v>
      </c>
      <c r="DX20" s="7">
        <v>24</v>
      </c>
      <c r="DY20" s="7">
        <v>8</v>
      </c>
      <c r="DZ20" s="7">
        <v>29</v>
      </c>
      <c r="EA20" s="7">
        <v>22</v>
      </c>
      <c r="EB20" s="7">
        <v>14</v>
      </c>
      <c r="EC20" s="7">
        <v>8</v>
      </c>
      <c r="ED20" s="7">
        <v>8</v>
      </c>
      <c r="EE20" s="7">
        <v>8</v>
      </c>
      <c r="EF20" s="7">
        <v>43</v>
      </c>
      <c r="EG20" s="7">
        <v>29</v>
      </c>
      <c r="EH20" s="7">
        <v>253</v>
      </c>
      <c r="EI20" s="7">
        <v>99</v>
      </c>
      <c r="EJ20" s="7">
        <v>20</v>
      </c>
      <c r="EK20" s="7">
        <v>31</v>
      </c>
      <c r="EL20" s="7">
        <v>16</v>
      </c>
      <c r="EM20" s="7">
        <v>7</v>
      </c>
      <c r="EN20" s="7">
        <v>37</v>
      </c>
      <c r="EO20" s="7">
        <v>5291</v>
      </c>
      <c r="EP20" s="7">
        <v>5258</v>
      </c>
      <c r="EQ20" s="7">
        <v>33</v>
      </c>
      <c r="ER20" s="7">
        <v>1493</v>
      </c>
      <c r="ES20" s="7">
        <v>650</v>
      </c>
      <c r="ET20" s="7">
        <v>645</v>
      </c>
      <c r="EU20" s="7">
        <v>5</v>
      </c>
      <c r="EV20" s="7">
        <v>5880</v>
      </c>
      <c r="EW20" s="134">
        <v>65.371162068000004</v>
      </c>
      <c r="EX20" s="134">
        <v>7.2677808005999998</v>
      </c>
      <c r="EY20" s="134">
        <v>6.0823940925000004</v>
      </c>
      <c r="EZ20" s="134">
        <v>20.423630004</v>
      </c>
      <c r="FA20" s="134">
        <v>0.85503303539999997</v>
      </c>
      <c r="FB20" s="7">
        <v>686</v>
      </c>
      <c r="FC20" s="7">
        <v>2577</v>
      </c>
      <c r="FD20" s="7">
        <v>198</v>
      </c>
      <c r="FE20" s="7">
        <v>1105</v>
      </c>
      <c r="FF20" s="7">
        <v>35</v>
      </c>
      <c r="FG20" s="7">
        <v>845</v>
      </c>
      <c r="FH20" s="7">
        <v>467</v>
      </c>
      <c r="FI20" s="134">
        <v>54.139137194</v>
      </c>
      <c r="FJ20" s="134">
        <v>20.423630004</v>
      </c>
      <c r="FK20" s="134">
        <v>18.96618733</v>
      </c>
      <c r="FL20" s="134">
        <v>6.4710454722000001</v>
      </c>
      <c r="FM20" s="151">
        <v>5716</v>
      </c>
      <c r="FN20" s="151">
        <v>2984</v>
      </c>
      <c r="FO20" s="7">
        <v>663</v>
      </c>
      <c r="FP20" s="7">
        <v>228</v>
      </c>
      <c r="FQ20" s="7">
        <v>54</v>
      </c>
      <c r="FR20" s="7">
        <v>16</v>
      </c>
      <c r="FS20" s="7">
        <v>4504</v>
      </c>
      <c r="FT20" s="7">
        <v>152</v>
      </c>
      <c r="FU20" s="7">
        <v>112</v>
      </c>
      <c r="FV20" s="7">
        <v>47</v>
      </c>
      <c r="FW20" s="7">
        <v>6002</v>
      </c>
      <c r="FX20" s="7">
        <v>2334</v>
      </c>
      <c r="FY20" s="7">
        <v>694</v>
      </c>
      <c r="FZ20" s="7">
        <v>235</v>
      </c>
      <c r="GA20" s="7">
        <v>60</v>
      </c>
      <c r="GB20" s="7">
        <v>20</v>
      </c>
      <c r="GC20" s="7">
        <v>4780</v>
      </c>
      <c r="GD20" s="7">
        <v>122</v>
      </c>
      <c r="GE20" s="7">
        <v>104</v>
      </c>
      <c r="GF20" s="7">
        <v>57</v>
      </c>
      <c r="GG20" s="7">
        <v>509</v>
      </c>
      <c r="GH20" s="7">
        <v>592</v>
      </c>
      <c r="GI20" s="7">
        <v>604</v>
      </c>
      <c r="GJ20" s="7">
        <v>584</v>
      </c>
      <c r="GK20" s="7">
        <v>338</v>
      </c>
      <c r="GL20" s="7">
        <v>313</v>
      </c>
      <c r="GM20" s="7">
        <v>388</v>
      </c>
      <c r="GN20" s="7">
        <v>408</v>
      </c>
      <c r="GO20" s="7">
        <v>350</v>
      </c>
      <c r="GP20" s="7">
        <v>300</v>
      </c>
      <c r="GQ20" s="7">
        <v>311</v>
      </c>
      <c r="GR20" s="7">
        <v>268</v>
      </c>
      <c r="GS20" s="7">
        <v>233</v>
      </c>
      <c r="GT20" s="7">
        <v>144</v>
      </c>
      <c r="GU20" s="7">
        <v>156</v>
      </c>
      <c r="GV20" s="7">
        <v>105</v>
      </c>
      <c r="GW20" s="7">
        <v>53</v>
      </c>
      <c r="GX20" s="7">
        <v>60</v>
      </c>
      <c r="GY20" s="7">
        <v>481</v>
      </c>
      <c r="GZ20" s="7">
        <v>553</v>
      </c>
      <c r="HA20" s="7">
        <v>611</v>
      </c>
      <c r="HB20" s="7">
        <v>554</v>
      </c>
      <c r="HC20" s="7">
        <v>447</v>
      </c>
      <c r="HD20" s="7">
        <v>436</v>
      </c>
      <c r="HE20" s="7">
        <v>461</v>
      </c>
      <c r="HF20" s="7">
        <v>469</v>
      </c>
      <c r="HG20" s="7">
        <v>364</v>
      </c>
      <c r="HH20" s="7">
        <v>332</v>
      </c>
      <c r="HI20" s="7">
        <v>329</v>
      </c>
      <c r="HJ20" s="7">
        <v>288</v>
      </c>
      <c r="HK20" s="7">
        <v>195</v>
      </c>
      <c r="HL20" s="7">
        <v>169</v>
      </c>
      <c r="HM20" s="7">
        <v>120</v>
      </c>
      <c r="HN20" s="7">
        <v>86</v>
      </c>
      <c r="HO20" s="7">
        <v>47</v>
      </c>
      <c r="HP20" s="7">
        <v>60</v>
      </c>
      <c r="HQ20" s="7">
        <v>4208</v>
      </c>
      <c r="HR20" s="7">
        <v>1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20</v>
      </c>
      <c r="HY20" s="7">
        <v>328</v>
      </c>
      <c r="HZ20" s="7">
        <v>700</v>
      </c>
      <c r="IA20" s="7">
        <v>797</v>
      </c>
      <c r="IB20" s="7">
        <v>945</v>
      </c>
      <c r="IC20" s="7">
        <v>673</v>
      </c>
      <c r="ID20" s="7">
        <v>363</v>
      </c>
      <c r="IE20" s="7">
        <v>192</v>
      </c>
      <c r="IF20" s="7">
        <v>84</v>
      </c>
      <c r="IG20" s="7">
        <v>136</v>
      </c>
      <c r="IH20" s="7">
        <v>518</v>
      </c>
      <c r="II20" s="7">
        <v>1121</v>
      </c>
      <c r="IJ20" s="7">
        <v>1325</v>
      </c>
      <c r="IK20" s="7">
        <v>890</v>
      </c>
      <c r="IL20" s="7">
        <v>267</v>
      </c>
      <c r="IM20" s="7">
        <v>63</v>
      </c>
      <c r="IN20" s="7">
        <v>7</v>
      </c>
      <c r="IO20" s="7">
        <v>2</v>
      </c>
      <c r="IP20" s="7">
        <v>0</v>
      </c>
      <c r="IQ20" s="7">
        <v>2090</v>
      </c>
      <c r="IR20" s="7">
        <v>1635</v>
      </c>
      <c r="IS20" s="7">
        <v>388</v>
      </c>
      <c r="IT20" s="7">
        <v>72</v>
      </c>
      <c r="IU20" s="7">
        <v>9</v>
      </c>
      <c r="IV20" s="7">
        <v>1209</v>
      </c>
      <c r="IW20" s="7">
        <v>2367</v>
      </c>
      <c r="IX20" s="7">
        <v>169</v>
      </c>
      <c r="IY20" s="7">
        <v>84</v>
      </c>
      <c r="IZ20" s="7">
        <v>1</v>
      </c>
      <c r="JA20" s="7">
        <v>356</v>
      </c>
      <c r="JB20" s="7">
        <v>736</v>
      </c>
      <c r="JC20" s="7">
        <v>2489</v>
      </c>
      <c r="JD20" s="7">
        <v>261</v>
      </c>
      <c r="JE20" s="7">
        <v>267</v>
      </c>
      <c r="JF20" s="151">
        <v>3851.5438635100686</v>
      </c>
      <c r="JG20" s="151">
        <v>348.90986971274339</v>
      </c>
      <c r="JH20" s="7">
        <v>340</v>
      </c>
      <c r="JI20" s="7">
        <v>3434</v>
      </c>
      <c r="JJ20" s="7">
        <v>425</v>
      </c>
      <c r="JK20" s="7">
        <v>19</v>
      </c>
      <c r="JL20" s="7">
        <v>3269</v>
      </c>
      <c r="JM20" s="7">
        <v>2127</v>
      </c>
      <c r="JN20" s="7">
        <v>436</v>
      </c>
      <c r="JO20" s="7">
        <v>2758</v>
      </c>
      <c r="JP20" s="7">
        <v>3592</v>
      </c>
      <c r="JQ20" s="7">
        <v>220</v>
      </c>
      <c r="JR20" s="7">
        <v>733</v>
      </c>
      <c r="JS20" s="7">
        <v>1509</v>
      </c>
      <c r="JT20" s="7">
        <v>101</v>
      </c>
      <c r="JU20" s="151">
        <v>421.5994259028983</v>
      </c>
      <c r="JV20" s="151">
        <v>3384.3254747567971</v>
      </c>
      <c r="JW20" s="151">
        <v>26.067978771641748</v>
      </c>
      <c r="JX20" s="151">
        <v>19.550984078731311</v>
      </c>
      <c r="JY20" s="7">
        <v>4041</v>
      </c>
      <c r="JZ20" s="7">
        <v>16788</v>
      </c>
      <c r="KA20" s="7">
        <v>2</v>
      </c>
      <c r="KB20" s="7">
        <v>0</v>
      </c>
      <c r="KC20" s="7">
        <v>0</v>
      </c>
      <c r="KD20" s="7">
        <v>0</v>
      </c>
      <c r="KE20" s="7">
        <v>0</v>
      </c>
      <c r="KF20" s="7">
        <v>0</v>
      </c>
      <c r="KG20" s="7">
        <v>71</v>
      </c>
      <c r="KH20" s="7">
        <v>1216</v>
      </c>
      <c r="KI20" s="7">
        <v>13967</v>
      </c>
      <c r="KJ20" s="7">
        <v>1567</v>
      </c>
      <c r="KK20" s="7">
        <v>78</v>
      </c>
      <c r="KL20" s="7">
        <v>1682</v>
      </c>
      <c r="KM20" s="7">
        <v>13502</v>
      </c>
      <c r="KN20" s="7">
        <v>104</v>
      </c>
      <c r="KO20" s="7">
        <v>78</v>
      </c>
      <c r="KP20" s="7">
        <v>15366</v>
      </c>
      <c r="KQ20" s="7">
        <v>1392</v>
      </c>
      <c r="KR20" s="7">
        <v>2503</v>
      </c>
      <c r="KS20" s="7">
        <v>2503</v>
      </c>
      <c r="KT20" s="7">
        <v>433</v>
      </c>
      <c r="KU20" s="7">
        <v>174</v>
      </c>
      <c r="KV20" s="7">
        <v>508</v>
      </c>
      <c r="KW20" s="7">
        <v>6</v>
      </c>
      <c r="KX20" s="7">
        <v>398</v>
      </c>
      <c r="KY20" s="7">
        <v>161</v>
      </c>
      <c r="KZ20" s="7">
        <v>466</v>
      </c>
      <c r="LA20" s="7">
        <v>5</v>
      </c>
      <c r="LB20" s="7">
        <v>1209</v>
      </c>
      <c r="LC20" s="7">
        <v>1240</v>
      </c>
      <c r="LD20" s="7">
        <v>893</v>
      </c>
      <c r="LE20" s="7">
        <v>1223</v>
      </c>
      <c r="LF20" s="7">
        <v>12403</v>
      </c>
      <c r="LG20" s="7">
        <v>46</v>
      </c>
      <c r="LH20" s="7">
        <v>2618</v>
      </c>
      <c r="LI20" s="7">
        <v>331</v>
      </c>
      <c r="LJ20" s="7">
        <v>1109</v>
      </c>
      <c r="LK20" s="7">
        <v>27</v>
      </c>
      <c r="LL20" s="7">
        <v>1066</v>
      </c>
      <c r="LM20" s="7">
        <v>374</v>
      </c>
      <c r="LN20" s="7">
        <v>39</v>
      </c>
      <c r="LO20" s="7">
        <v>2504</v>
      </c>
      <c r="LP20" s="7">
        <v>338</v>
      </c>
      <c r="LQ20" s="7">
        <v>1005</v>
      </c>
      <c r="LR20" s="7">
        <v>37</v>
      </c>
      <c r="LS20" s="7">
        <v>792</v>
      </c>
      <c r="LT20" s="7">
        <v>284</v>
      </c>
      <c r="LU20" s="232">
        <v>6.2348447911999996</v>
      </c>
      <c r="LV20" s="232">
        <v>6.5303630885999997</v>
      </c>
      <c r="LW20" s="232">
        <v>5.9241540257</v>
      </c>
      <c r="LX20" s="7">
        <v>4218</v>
      </c>
      <c r="LY20" s="7">
        <v>16828</v>
      </c>
    </row>
    <row r="21" spans="1:337" x14ac:dyDescent="0.25">
      <c r="A21" t="s">
        <v>80</v>
      </c>
      <c r="B21" t="s">
        <v>81</v>
      </c>
      <c r="C21" s="7">
        <v>12256</v>
      </c>
      <c r="D21">
        <v>14027</v>
      </c>
      <c r="F21">
        <f t="shared" si="0"/>
        <v>-14027</v>
      </c>
      <c r="G21">
        <f t="shared" si="1"/>
        <v>-100</v>
      </c>
      <c r="H21">
        <v>6919</v>
      </c>
      <c r="I21">
        <v>7108</v>
      </c>
      <c r="J21">
        <v>0</v>
      </c>
      <c r="K21">
        <v>14027</v>
      </c>
      <c r="L21" s="7">
        <v>1118</v>
      </c>
      <c r="M21" s="7">
        <v>1082</v>
      </c>
      <c r="N21" s="7">
        <v>1018</v>
      </c>
      <c r="O21" s="7">
        <v>867</v>
      </c>
      <c r="P21" s="7">
        <v>641</v>
      </c>
      <c r="Q21" s="7">
        <v>469</v>
      </c>
      <c r="R21" s="7">
        <v>391</v>
      </c>
      <c r="S21" s="7">
        <v>318</v>
      </c>
      <c r="T21" s="7">
        <v>274</v>
      </c>
      <c r="U21" s="7">
        <v>226</v>
      </c>
      <c r="V21" s="7">
        <v>135</v>
      </c>
      <c r="W21" s="7">
        <v>103</v>
      </c>
      <c r="X21" s="7">
        <v>91</v>
      </c>
      <c r="Y21" s="7">
        <v>166</v>
      </c>
      <c r="Z21" s="7">
        <v>20</v>
      </c>
      <c r="AA21" s="7">
        <v>1120</v>
      </c>
      <c r="AB21" s="7">
        <v>1128</v>
      </c>
      <c r="AC21" s="7">
        <v>1022</v>
      </c>
      <c r="AD21" s="7">
        <v>899</v>
      </c>
      <c r="AE21" s="7">
        <v>674</v>
      </c>
      <c r="AF21" s="7">
        <v>553</v>
      </c>
      <c r="AG21" s="7">
        <v>322</v>
      </c>
      <c r="AH21" s="7">
        <v>371</v>
      </c>
      <c r="AI21" s="7">
        <v>251</v>
      </c>
      <c r="AJ21" s="7">
        <v>211</v>
      </c>
      <c r="AK21" s="7">
        <v>149</v>
      </c>
      <c r="AL21" s="7">
        <v>116</v>
      </c>
      <c r="AM21" s="7">
        <v>98</v>
      </c>
      <c r="AN21" s="7">
        <v>172</v>
      </c>
      <c r="AO21" s="7">
        <v>22</v>
      </c>
      <c r="AP21">
        <v>13932</v>
      </c>
      <c r="AQ21">
        <v>1</v>
      </c>
      <c r="AR21">
        <v>3</v>
      </c>
      <c r="AS21" t="s">
        <v>358</v>
      </c>
      <c r="AT21">
        <v>91</v>
      </c>
      <c r="AU21" s="7">
        <v>12551</v>
      </c>
      <c r="AV21" s="7">
        <v>6173</v>
      </c>
      <c r="AW21" s="7">
        <v>6378</v>
      </c>
      <c r="AX21" s="7">
        <v>9914</v>
      </c>
      <c r="AY21" s="7">
        <v>12551</v>
      </c>
      <c r="AZ21" s="7">
        <v>12551</v>
      </c>
      <c r="BA21" s="7">
        <v>0</v>
      </c>
      <c r="BB21" s="7">
        <v>438</v>
      </c>
      <c r="BC21" s="7">
        <v>442</v>
      </c>
      <c r="BD21" s="7">
        <v>1059</v>
      </c>
      <c r="BE21" s="7">
        <v>1119</v>
      </c>
      <c r="BF21" s="7">
        <v>1012</v>
      </c>
      <c r="BG21" s="7">
        <v>1012</v>
      </c>
      <c r="BH21" s="7">
        <v>859</v>
      </c>
      <c r="BI21" s="7">
        <v>894</v>
      </c>
      <c r="BJ21" s="7">
        <v>638</v>
      </c>
      <c r="BK21" s="7">
        <v>673</v>
      </c>
      <c r="BL21" s="7">
        <v>465</v>
      </c>
      <c r="BM21" s="7">
        <v>550</v>
      </c>
      <c r="BN21" s="7">
        <v>390</v>
      </c>
      <c r="BO21" s="7">
        <v>321</v>
      </c>
      <c r="BP21" s="7">
        <v>318</v>
      </c>
      <c r="BQ21" s="7">
        <v>370</v>
      </c>
      <c r="BR21" s="7">
        <v>274</v>
      </c>
      <c r="BS21" s="7">
        <v>251</v>
      </c>
      <c r="BT21" s="7">
        <v>225</v>
      </c>
      <c r="BU21" s="7">
        <v>211</v>
      </c>
      <c r="BV21" s="7">
        <v>135</v>
      </c>
      <c r="BW21" s="7">
        <v>149</v>
      </c>
      <c r="BX21" s="7">
        <v>103</v>
      </c>
      <c r="BY21" s="7">
        <v>116</v>
      </c>
      <c r="BZ21" s="7">
        <v>91</v>
      </c>
      <c r="CA21" s="7">
        <v>98</v>
      </c>
      <c r="CB21" s="7">
        <v>166</v>
      </c>
      <c r="CC21" s="7">
        <v>172</v>
      </c>
      <c r="CD21" s="7">
        <v>2250</v>
      </c>
      <c r="CE21" s="7">
        <v>1192</v>
      </c>
      <c r="CF21" s="7">
        <v>3876</v>
      </c>
      <c r="CG21" s="7">
        <v>5119</v>
      </c>
      <c r="CH21" s="7">
        <v>2460</v>
      </c>
      <c r="CI21" s="7">
        <v>438</v>
      </c>
      <c r="CJ21" s="7">
        <v>12604</v>
      </c>
      <c r="CK21" s="7">
        <v>1390</v>
      </c>
      <c r="CL21" s="7">
        <v>194</v>
      </c>
      <c r="CM21" s="7">
        <v>361</v>
      </c>
      <c r="CN21" s="7">
        <v>426</v>
      </c>
      <c r="CO21" s="7">
        <v>422</v>
      </c>
      <c r="CP21" s="7">
        <v>416</v>
      </c>
      <c r="CQ21" s="7">
        <v>1079</v>
      </c>
      <c r="CR21" s="7">
        <v>2328</v>
      </c>
      <c r="CS21" s="7">
        <v>8298</v>
      </c>
      <c r="CT21" s="7">
        <v>116</v>
      </c>
      <c r="CU21" s="7">
        <v>40</v>
      </c>
      <c r="CV21" s="7">
        <v>34</v>
      </c>
      <c r="CW21" s="7">
        <v>152</v>
      </c>
      <c r="CX21" s="7">
        <v>0</v>
      </c>
      <c r="CY21" s="7">
        <v>11880</v>
      </c>
      <c r="CZ21" s="7">
        <v>1248</v>
      </c>
      <c r="DA21" s="7">
        <v>0</v>
      </c>
      <c r="DB21" s="7">
        <v>194</v>
      </c>
      <c r="DC21" s="7">
        <v>0</v>
      </c>
      <c r="DD21" s="7">
        <v>3249</v>
      </c>
      <c r="DE21" s="7">
        <v>4048</v>
      </c>
      <c r="DF21" s="7">
        <v>6730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24</v>
      </c>
      <c r="DM21" s="7">
        <v>12</v>
      </c>
      <c r="DN21" s="7">
        <v>7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40</v>
      </c>
      <c r="DU21" s="7">
        <v>43</v>
      </c>
      <c r="DV21" s="7">
        <v>28</v>
      </c>
      <c r="DW21" s="7">
        <v>40</v>
      </c>
      <c r="DX21" s="7">
        <v>5</v>
      </c>
      <c r="DY21" s="7">
        <v>5</v>
      </c>
      <c r="DZ21" s="7">
        <v>5</v>
      </c>
      <c r="EA21" s="7">
        <v>4</v>
      </c>
      <c r="EB21" s="7">
        <v>3</v>
      </c>
      <c r="EC21" s="7">
        <v>0</v>
      </c>
      <c r="ED21" s="7">
        <v>0</v>
      </c>
      <c r="EE21" s="7">
        <v>1</v>
      </c>
      <c r="EF21" s="7">
        <v>10</v>
      </c>
      <c r="EG21" s="7">
        <v>7</v>
      </c>
      <c r="EH21" s="7">
        <v>40</v>
      </c>
      <c r="EI21" s="7">
        <v>32</v>
      </c>
      <c r="EJ21" s="7">
        <v>7</v>
      </c>
      <c r="EK21" s="7">
        <v>4</v>
      </c>
      <c r="EL21" s="7">
        <v>1</v>
      </c>
      <c r="EM21" s="7">
        <v>0</v>
      </c>
      <c r="EN21" s="7">
        <v>8</v>
      </c>
      <c r="EO21" s="7">
        <v>3268</v>
      </c>
      <c r="EP21" s="7">
        <v>3229</v>
      </c>
      <c r="EQ21" s="7">
        <v>39</v>
      </c>
      <c r="ER21" s="7">
        <v>954</v>
      </c>
      <c r="ES21" s="7">
        <v>483</v>
      </c>
      <c r="ET21" s="7">
        <v>479</v>
      </c>
      <c r="EU21" s="7">
        <v>4</v>
      </c>
      <c r="EV21" s="7">
        <v>3870</v>
      </c>
      <c r="EW21" s="134">
        <v>94.224021592</v>
      </c>
      <c r="EX21" s="134">
        <v>1.3495276652999999</v>
      </c>
      <c r="EY21" s="134">
        <v>0.53981106609999996</v>
      </c>
      <c r="EZ21" s="134">
        <v>1.8353576248000001</v>
      </c>
      <c r="FA21" s="134">
        <v>2.0512820512999999</v>
      </c>
      <c r="FB21" s="7">
        <v>875</v>
      </c>
      <c r="FC21" s="7">
        <v>2286</v>
      </c>
      <c r="FD21" s="7">
        <v>119</v>
      </c>
      <c r="FE21" s="7">
        <v>402</v>
      </c>
      <c r="FF21" s="7">
        <v>0</v>
      </c>
      <c r="FG21" s="7">
        <v>60</v>
      </c>
      <c r="FH21" s="7">
        <v>5</v>
      </c>
      <c r="FI21" s="134">
        <v>91.632928475</v>
      </c>
      <c r="FJ21" s="134">
        <v>1.7813765182000001</v>
      </c>
      <c r="FK21" s="134">
        <v>0.94466936570000004</v>
      </c>
      <c r="FL21" s="134">
        <v>5.6410256409999997</v>
      </c>
      <c r="FM21" s="151">
        <v>3327</v>
      </c>
      <c r="FN21" s="151">
        <v>3443</v>
      </c>
      <c r="FO21" s="7">
        <v>800</v>
      </c>
      <c r="FP21" s="7">
        <v>0</v>
      </c>
      <c r="FQ21" s="7">
        <v>0</v>
      </c>
      <c r="FR21" s="7">
        <v>1</v>
      </c>
      <c r="FS21" s="7">
        <v>2199</v>
      </c>
      <c r="FT21" s="7">
        <v>168</v>
      </c>
      <c r="FU21" s="7">
        <v>164</v>
      </c>
      <c r="FV21" s="7">
        <v>149</v>
      </c>
      <c r="FW21" s="7">
        <v>3604</v>
      </c>
      <c r="FX21" s="7">
        <v>3342</v>
      </c>
      <c r="FY21" s="7">
        <v>867</v>
      </c>
      <c r="FZ21" s="7">
        <v>2</v>
      </c>
      <c r="GA21" s="7">
        <v>2</v>
      </c>
      <c r="GB21" s="7">
        <v>1</v>
      </c>
      <c r="GC21" s="7">
        <v>2406</v>
      </c>
      <c r="GD21" s="7">
        <v>177</v>
      </c>
      <c r="GE21" s="7">
        <v>162</v>
      </c>
      <c r="GF21" s="7">
        <v>162</v>
      </c>
      <c r="GG21" s="7">
        <v>536</v>
      </c>
      <c r="GH21" s="7">
        <v>517</v>
      </c>
      <c r="GI21" s="7">
        <v>494</v>
      </c>
      <c r="GJ21" s="7">
        <v>399</v>
      </c>
      <c r="GK21" s="7">
        <v>280</v>
      </c>
      <c r="GL21" s="7">
        <v>237</v>
      </c>
      <c r="GM21" s="7">
        <v>195</v>
      </c>
      <c r="GN21" s="7">
        <v>169</v>
      </c>
      <c r="GO21" s="7">
        <v>143</v>
      </c>
      <c r="GP21" s="7">
        <v>108</v>
      </c>
      <c r="GQ21" s="7">
        <v>82</v>
      </c>
      <c r="GR21" s="7">
        <v>47</v>
      </c>
      <c r="GS21" s="7">
        <v>37</v>
      </c>
      <c r="GT21" s="7">
        <v>28</v>
      </c>
      <c r="GU21" s="7">
        <v>26</v>
      </c>
      <c r="GV21" s="7">
        <v>8</v>
      </c>
      <c r="GW21" s="7">
        <v>14</v>
      </c>
      <c r="GX21" s="7">
        <v>7</v>
      </c>
      <c r="GY21" s="7">
        <v>526</v>
      </c>
      <c r="GZ21" s="7">
        <v>573</v>
      </c>
      <c r="HA21" s="7">
        <v>514</v>
      </c>
      <c r="HB21" s="7">
        <v>405</v>
      </c>
      <c r="HC21" s="7">
        <v>325</v>
      </c>
      <c r="HD21" s="7">
        <v>303</v>
      </c>
      <c r="HE21" s="7">
        <v>176</v>
      </c>
      <c r="HF21" s="7">
        <v>219</v>
      </c>
      <c r="HG21" s="7">
        <v>148</v>
      </c>
      <c r="HH21" s="7">
        <v>130</v>
      </c>
      <c r="HI21" s="7">
        <v>76</v>
      </c>
      <c r="HJ21" s="7">
        <v>66</v>
      </c>
      <c r="HK21" s="7">
        <v>50</v>
      </c>
      <c r="HL21" s="7">
        <v>35</v>
      </c>
      <c r="HM21" s="7">
        <v>22</v>
      </c>
      <c r="HN21" s="7">
        <v>17</v>
      </c>
      <c r="HO21" s="7">
        <v>7</v>
      </c>
      <c r="HP21" s="7">
        <v>8</v>
      </c>
      <c r="HQ21" s="7">
        <v>2891</v>
      </c>
      <c r="HR21" s="7">
        <v>2</v>
      </c>
      <c r="HS21" s="7">
        <v>1</v>
      </c>
      <c r="HT21" s="7">
        <v>0</v>
      </c>
      <c r="HU21" s="7">
        <v>0</v>
      </c>
      <c r="HV21" s="7">
        <v>0</v>
      </c>
      <c r="HW21" s="7">
        <v>0</v>
      </c>
      <c r="HX21" s="7">
        <v>15</v>
      </c>
      <c r="HY21" s="7">
        <v>194</v>
      </c>
      <c r="HZ21" s="7">
        <v>361</v>
      </c>
      <c r="IA21" s="7">
        <v>426</v>
      </c>
      <c r="IB21" s="7">
        <v>422</v>
      </c>
      <c r="IC21" s="7">
        <v>416</v>
      </c>
      <c r="ID21" s="7">
        <v>406</v>
      </c>
      <c r="IE21" s="7">
        <v>237</v>
      </c>
      <c r="IF21" s="7">
        <v>185</v>
      </c>
      <c r="IG21" s="7">
        <v>251</v>
      </c>
      <c r="IH21" s="7">
        <v>481</v>
      </c>
      <c r="II21" s="7">
        <v>2076</v>
      </c>
      <c r="IJ21" s="7">
        <v>241</v>
      </c>
      <c r="IK21" s="7">
        <v>47</v>
      </c>
      <c r="IL21" s="7">
        <v>11</v>
      </c>
      <c r="IM21" s="7">
        <v>2</v>
      </c>
      <c r="IN21" s="7">
        <v>0</v>
      </c>
      <c r="IO21" s="7">
        <v>0</v>
      </c>
      <c r="IP21" s="7">
        <v>4</v>
      </c>
      <c r="IQ21" s="7">
        <v>2548</v>
      </c>
      <c r="IR21" s="7">
        <v>260</v>
      </c>
      <c r="IS21" s="7">
        <v>43</v>
      </c>
      <c r="IT21" s="7">
        <v>10</v>
      </c>
      <c r="IU21" s="7">
        <v>4</v>
      </c>
      <c r="IV21" s="7">
        <v>228</v>
      </c>
      <c r="IW21" s="7">
        <v>627</v>
      </c>
      <c r="IX21" s="7">
        <v>25</v>
      </c>
      <c r="IY21" s="7">
        <v>14</v>
      </c>
      <c r="IZ21" s="7">
        <v>1</v>
      </c>
      <c r="JA21" s="7">
        <v>1954</v>
      </c>
      <c r="JB21" s="7">
        <v>150</v>
      </c>
      <c r="JC21" s="7">
        <v>533</v>
      </c>
      <c r="JD21" s="7">
        <v>26</v>
      </c>
      <c r="JE21" s="7">
        <v>13</v>
      </c>
      <c r="JF21" s="151">
        <v>2478.4384346822339</v>
      </c>
      <c r="JG21" s="151">
        <v>403.61601848225882</v>
      </c>
      <c r="JH21" s="7">
        <v>1672</v>
      </c>
      <c r="JI21" s="7">
        <v>1185</v>
      </c>
      <c r="JJ21" s="7">
        <v>13</v>
      </c>
      <c r="JK21" s="7">
        <v>28</v>
      </c>
      <c r="JL21" s="7">
        <v>85</v>
      </c>
      <c r="JM21" s="7">
        <v>9</v>
      </c>
      <c r="JN21" s="7">
        <v>27</v>
      </c>
      <c r="JO21" s="7">
        <v>974</v>
      </c>
      <c r="JP21" s="7">
        <v>621</v>
      </c>
      <c r="JQ21" s="7">
        <v>7</v>
      </c>
      <c r="JR21" s="7">
        <v>16</v>
      </c>
      <c r="JS21" s="7">
        <v>72</v>
      </c>
      <c r="JT21" s="7">
        <v>4</v>
      </c>
      <c r="JU21" s="151">
        <v>25.886096618923734</v>
      </c>
      <c r="JV21" s="151">
        <v>258.44678864333457</v>
      </c>
      <c r="JW21" s="151">
        <v>2158.2791916993851</v>
      </c>
      <c r="JX21" s="151">
        <v>35.826357720590444</v>
      </c>
      <c r="JY21" s="7">
        <v>2259</v>
      </c>
      <c r="JZ21" s="7">
        <v>13965</v>
      </c>
      <c r="KA21" s="7">
        <v>11</v>
      </c>
      <c r="KB21" s="7">
        <v>2</v>
      </c>
      <c r="KC21" s="7">
        <v>0</v>
      </c>
      <c r="KD21" s="7">
        <v>0</v>
      </c>
      <c r="KE21" s="7">
        <v>0</v>
      </c>
      <c r="KF21" s="7">
        <v>0</v>
      </c>
      <c r="KG21" s="7">
        <v>49</v>
      </c>
      <c r="KH21" s="7">
        <v>7741</v>
      </c>
      <c r="KI21" s="7">
        <v>6061</v>
      </c>
      <c r="KJ21" s="7">
        <v>70</v>
      </c>
      <c r="KK21" s="7">
        <v>122</v>
      </c>
      <c r="KL21" s="7">
        <v>125</v>
      </c>
      <c r="KM21" s="7">
        <v>1248</v>
      </c>
      <c r="KN21" s="7">
        <v>10422</v>
      </c>
      <c r="KO21" s="7">
        <v>173</v>
      </c>
      <c r="KP21" s="7">
        <v>11968</v>
      </c>
      <c r="KQ21" s="7">
        <v>1949</v>
      </c>
      <c r="KR21" s="7">
        <v>2254</v>
      </c>
      <c r="KS21" s="7">
        <v>2254</v>
      </c>
      <c r="KT21" s="7">
        <v>453</v>
      </c>
      <c r="KU21" s="7">
        <v>142</v>
      </c>
      <c r="KV21" s="7">
        <v>305</v>
      </c>
      <c r="KW21" s="7">
        <v>1</v>
      </c>
      <c r="KX21" s="7">
        <v>490</v>
      </c>
      <c r="KY21" s="7">
        <v>118</v>
      </c>
      <c r="KZ21" s="7">
        <v>212</v>
      </c>
      <c r="LA21" s="7">
        <v>0</v>
      </c>
      <c r="LB21" s="7">
        <v>1090</v>
      </c>
      <c r="LC21" s="7">
        <v>1057</v>
      </c>
      <c r="LD21" s="7">
        <v>870</v>
      </c>
      <c r="LE21" s="7">
        <v>1657</v>
      </c>
      <c r="LF21" s="7">
        <v>7497</v>
      </c>
      <c r="LG21" s="7">
        <v>28</v>
      </c>
      <c r="LH21" s="7">
        <v>2084</v>
      </c>
      <c r="LI21" s="7">
        <v>259</v>
      </c>
      <c r="LJ21" s="7">
        <v>449</v>
      </c>
      <c r="LK21" s="7">
        <v>1</v>
      </c>
      <c r="LL21" s="7">
        <v>126</v>
      </c>
      <c r="LM21" s="7">
        <v>15</v>
      </c>
      <c r="LN21" s="7">
        <v>18</v>
      </c>
      <c r="LO21" s="7">
        <v>1906</v>
      </c>
      <c r="LP21" s="7">
        <v>155</v>
      </c>
      <c r="LQ21" s="7">
        <v>188</v>
      </c>
      <c r="LR21" s="7">
        <v>0</v>
      </c>
      <c r="LS21" s="7">
        <v>82</v>
      </c>
      <c r="LT21" s="7">
        <v>3</v>
      </c>
      <c r="LU21" s="232">
        <v>4.2415129644</v>
      </c>
      <c r="LV21" s="232">
        <v>5.0127891156000004</v>
      </c>
      <c r="LW21" s="232">
        <v>3.4969792488000002</v>
      </c>
      <c r="LX21" s="7">
        <v>2898</v>
      </c>
      <c r="LY21" s="7">
        <v>13994</v>
      </c>
    </row>
    <row r="22" spans="1:337" x14ac:dyDescent="0.25">
      <c r="A22" t="s">
        <v>82</v>
      </c>
      <c r="B22" t="s">
        <v>83</v>
      </c>
      <c r="C22" s="7">
        <v>59005</v>
      </c>
      <c r="D22">
        <v>76941</v>
      </c>
      <c r="F22">
        <f t="shared" si="0"/>
        <v>-76941</v>
      </c>
      <c r="G22">
        <f t="shared" si="1"/>
        <v>-100</v>
      </c>
      <c r="H22">
        <v>35555</v>
      </c>
      <c r="I22">
        <v>41386</v>
      </c>
      <c r="J22">
        <v>3329</v>
      </c>
      <c r="K22">
        <v>73612</v>
      </c>
      <c r="L22" s="7">
        <v>5395</v>
      </c>
      <c r="M22" s="7">
        <v>5712</v>
      </c>
      <c r="N22" s="7">
        <v>5250</v>
      </c>
      <c r="O22" s="7">
        <v>4094</v>
      </c>
      <c r="P22" s="7">
        <v>2889</v>
      </c>
      <c r="Q22" s="7">
        <v>2469</v>
      </c>
      <c r="R22" s="7">
        <v>1893</v>
      </c>
      <c r="S22" s="7">
        <v>1529</v>
      </c>
      <c r="T22" s="7">
        <v>1165</v>
      </c>
      <c r="U22" s="7">
        <v>1224</v>
      </c>
      <c r="V22" s="7">
        <v>927</v>
      </c>
      <c r="W22" s="7">
        <v>801</v>
      </c>
      <c r="X22" s="7">
        <v>682</v>
      </c>
      <c r="Y22" s="7">
        <v>1345</v>
      </c>
      <c r="Z22" s="7">
        <v>180</v>
      </c>
      <c r="AA22" s="7">
        <v>5696</v>
      </c>
      <c r="AB22" s="7">
        <v>5835</v>
      </c>
      <c r="AC22" s="7">
        <v>5248</v>
      </c>
      <c r="AD22" s="7">
        <v>4821</v>
      </c>
      <c r="AE22" s="7">
        <v>3852</v>
      </c>
      <c r="AF22" s="7">
        <v>3156</v>
      </c>
      <c r="AG22" s="7">
        <v>2421</v>
      </c>
      <c r="AH22" s="7">
        <v>2138</v>
      </c>
      <c r="AI22" s="7">
        <v>1639</v>
      </c>
      <c r="AJ22" s="7">
        <v>1652</v>
      </c>
      <c r="AK22" s="7">
        <v>1184</v>
      </c>
      <c r="AL22" s="7">
        <v>920</v>
      </c>
      <c r="AM22" s="7">
        <v>812</v>
      </c>
      <c r="AN22" s="7">
        <v>1832</v>
      </c>
      <c r="AO22" s="7">
        <v>180</v>
      </c>
      <c r="AP22">
        <v>76522</v>
      </c>
      <c r="AQ22">
        <v>34</v>
      </c>
      <c r="AR22">
        <v>28</v>
      </c>
      <c r="AS22">
        <v>1</v>
      </c>
      <c r="AT22">
        <v>356</v>
      </c>
      <c r="AU22" s="7">
        <v>69475</v>
      </c>
      <c r="AV22" s="7">
        <v>31891</v>
      </c>
      <c r="AW22" s="7">
        <v>37584</v>
      </c>
      <c r="AX22" s="7">
        <v>48819</v>
      </c>
      <c r="AY22" s="7">
        <v>69475</v>
      </c>
      <c r="AZ22" s="7">
        <v>66455</v>
      </c>
      <c r="BA22" s="7">
        <v>3020</v>
      </c>
      <c r="BB22" s="7">
        <v>2012</v>
      </c>
      <c r="BC22" s="7">
        <v>2213</v>
      </c>
      <c r="BD22" s="7">
        <v>5671</v>
      </c>
      <c r="BE22" s="7">
        <v>5803</v>
      </c>
      <c r="BF22" s="7">
        <v>5229</v>
      </c>
      <c r="BG22" s="7">
        <v>5232</v>
      </c>
      <c r="BH22" s="7">
        <v>4082</v>
      </c>
      <c r="BI22" s="7">
        <v>4805</v>
      </c>
      <c r="BJ22" s="7">
        <v>2879</v>
      </c>
      <c r="BK22" s="7">
        <v>3829</v>
      </c>
      <c r="BL22" s="7">
        <v>2462</v>
      </c>
      <c r="BM22" s="7">
        <v>3133</v>
      </c>
      <c r="BN22" s="7">
        <v>1892</v>
      </c>
      <c r="BO22" s="7">
        <v>2412</v>
      </c>
      <c r="BP22" s="7">
        <v>1525</v>
      </c>
      <c r="BQ22" s="7">
        <v>2130</v>
      </c>
      <c r="BR22" s="7">
        <v>1164</v>
      </c>
      <c r="BS22" s="7">
        <v>1635</v>
      </c>
      <c r="BT22" s="7">
        <v>1223</v>
      </c>
      <c r="BU22" s="7">
        <v>1649</v>
      </c>
      <c r="BV22" s="7">
        <v>927</v>
      </c>
      <c r="BW22" s="7">
        <v>1183</v>
      </c>
      <c r="BX22" s="7">
        <v>800</v>
      </c>
      <c r="BY22" s="7">
        <v>919</v>
      </c>
      <c r="BZ22" s="7">
        <v>682</v>
      </c>
      <c r="CA22" s="7">
        <v>811</v>
      </c>
      <c r="CB22" s="7">
        <v>1343</v>
      </c>
      <c r="CC22" s="7">
        <v>1830</v>
      </c>
      <c r="CD22" s="7">
        <v>17468</v>
      </c>
      <c r="CE22" s="7">
        <v>10025</v>
      </c>
      <c r="CF22" s="7">
        <v>14302</v>
      </c>
      <c r="CG22" s="7">
        <v>27434</v>
      </c>
      <c r="CH22" s="7">
        <v>12137</v>
      </c>
      <c r="CI22" s="7">
        <v>3946</v>
      </c>
      <c r="CJ22" s="7">
        <v>63417</v>
      </c>
      <c r="CK22" s="7">
        <v>13206</v>
      </c>
      <c r="CL22" s="7">
        <v>1289</v>
      </c>
      <c r="CM22" s="7">
        <v>2114</v>
      </c>
      <c r="CN22" s="7">
        <v>2280</v>
      </c>
      <c r="CO22" s="7">
        <v>2382</v>
      </c>
      <c r="CP22" s="7">
        <v>2248</v>
      </c>
      <c r="CQ22" s="7">
        <v>5770</v>
      </c>
      <c r="CR22" s="7">
        <v>11673</v>
      </c>
      <c r="CS22" s="7">
        <v>43059</v>
      </c>
      <c r="CT22" s="7">
        <v>2499</v>
      </c>
      <c r="CU22" s="7">
        <v>1080</v>
      </c>
      <c r="CV22" s="7">
        <v>656</v>
      </c>
      <c r="CW22" s="7">
        <v>1376</v>
      </c>
      <c r="CX22" s="7">
        <v>19</v>
      </c>
      <c r="CY22" s="7">
        <v>57122</v>
      </c>
      <c r="CZ22" s="7">
        <v>17051</v>
      </c>
      <c r="DA22" s="7">
        <v>61</v>
      </c>
      <c r="DB22" s="7">
        <v>1289</v>
      </c>
      <c r="DC22" s="7">
        <v>8</v>
      </c>
      <c r="DD22" s="7">
        <v>4946</v>
      </c>
      <c r="DE22" s="7">
        <v>16080</v>
      </c>
      <c r="DF22" s="7">
        <v>52586</v>
      </c>
      <c r="DG22" s="7">
        <v>3329</v>
      </c>
      <c r="DH22" s="7">
        <v>0</v>
      </c>
      <c r="DI22" s="7">
        <v>0</v>
      </c>
      <c r="DJ22" s="7">
        <v>0</v>
      </c>
      <c r="DK22" s="7">
        <v>0</v>
      </c>
      <c r="DL22" s="7">
        <v>39</v>
      </c>
      <c r="DM22" s="7">
        <v>45</v>
      </c>
      <c r="DN22" s="7">
        <v>59</v>
      </c>
      <c r="DO22" s="7">
        <v>1</v>
      </c>
      <c r="DP22" s="7">
        <v>0</v>
      </c>
      <c r="DQ22" s="7">
        <v>0</v>
      </c>
      <c r="DR22" s="7">
        <v>0</v>
      </c>
      <c r="DS22" s="7">
        <v>0</v>
      </c>
      <c r="DT22" s="7">
        <v>269</v>
      </c>
      <c r="DU22" s="7">
        <v>406</v>
      </c>
      <c r="DV22" s="7">
        <v>289</v>
      </c>
      <c r="DW22" s="7">
        <v>458</v>
      </c>
      <c r="DX22" s="7">
        <v>235</v>
      </c>
      <c r="DY22" s="7">
        <v>287</v>
      </c>
      <c r="DZ22" s="7">
        <v>84</v>
      </c>
      <c r="EA22" s="7">
        <v>85</v>
      </c>
      <c r="EB22" s="7">
        <v>18</v>
      </c>
      <c r="EC22" s="7">
        <v>25</v>
      </c>
      <c r="ED22" s="7">
        <v>18</v>
      </c>
      <c r="EE22" s="7">
        <v>15</v>
      </c>
      <c r="EF22" s="7">
        <v>43</v>
      </c>
      <c r="EG22" s="7">
        <v>39</v>
      </c>
      <c r="EH22" s="7">
        <v>326</v>
      </c>
      <c r="EI22" s="7">
        <v>399</v>
      </c>
      <c r="EJ22" s="7">
        <v>253</v>
      </c>
      <c r="EK22" s="7">
        <v>67</v>
      </c>
      <c r="EL22" s="7">
        <v>12</v>
      </c>
      <c r="EM22" s="7">
        <v>15</v>
      </c>
      <c r="EN22" s="7">
        <v>33</v>
      </c>
      <c r="EO22" s="7">
        <v>17203</v>
      </c>
      <c r="EP22" s="7">
        <v>16685</v>
      </c>
      <c r="EQ22" s="7">
        <v>518</v>
      </c>
      <c r="ER22" s="7">
        <v>4778</v>
      </c>
      <c r="ES22" s="7">
        <v>7826</v>
      </c>
      <c r="ET22" s="7">
        <v>7796</v>
      </c>
      <c r="EU22" s="7">
        <v>30</v>
      </c>
      <c r="EV22" s="7">
        <v>19540</v>
      </c>
      <c r="EW22" s="134">
        <v>63.480572596999998</v>
      </c>
      <c r="EX22" s="134">
        <v>18.707566461999999</v>
      </c>
      <c r="EY22" s="134">
        <v>11.394683026999999</v>
      </c>
      <c r="EZ22" s="134">
        <v>6.0408997954999997</v>
      </c>
      <c r="FA22" s="134">
        <v>0.37627811859999999</v>
      </c>
      <c r="FB22" s="7">
        <v>8846</v>
      </c>
      <c r="FC22" s="7">
        <v>14522</v>
      </c>
      <c r="FD22" s="7">
        <v>234</v>
      </c>
      <c r="FE22" s="7">
        <v>1121</v>
      </c>
      <c r="FF22" s="7">
        <v>1</v>
      </c>
      <c r="FG22" s="7">
        <v>240</v>
      </c>
      <c r="FH22" s="7">
        <v>51</v>
      </c>
      <c r="FI22" s="134">
        <v>82.408997955000004</v>
      </c>
      <c r="FJ22" s="134">
        <v>11.321063394999999</v>
      </c>
      <c r="FK22" s="134">
        <v>3.3987730060999999</v>
      </c>
      <c r="FL22" s="134">
        <v>2.8711656442</v>
      </c>
      <c r="FM22" s="151">
        <v>14523</v>
      </c>
      <c r="FN22" s="151">
        <v>20796</v>
      </c>
      <c r="FO22" s="7">
        <v>966</v>
      </c>
      <c r="FP22" s="7">
        <v>34</v>
      </c>
      <c r="FQ22" s="7">
        <v>8</v>
      </c>
      <c r="FR22" s="7">
        <v>6</v>
      </c>
      <c r="FS22" s="7">
        <v>13234</v>
      </c>
      <c r="FT22" s="7">
        <v>67</v>
      </c>
      <c r="FU22" s="7">
        <v>221</v>
      </c>
      <c r="FV22" s="7">
        <v>236</v>
      </c>
      <c r="FW22" s="7">
        <v>19514</v>
      </c>
      <c r="FX22" s="7">
        <v>21641</v>
      </c>
      <c r="FY22" s="7">
        <v>1341</v>
      </c>
      <c r="FZ22" s="7">
        <v>30</v>
      </c>
      <c r="GA22" s="7">
        <v>8</v>
      </c>
      <c r="GB22" s="7">
        <v>6</v>
      </c>
      <c r="GC22" s="7">
        <v>17892</v>
      </c>
      <c r="GD22" s="7">
        <v>87</v>
      </c>
      <c r="GE22" s="7">
        <v>204</v>
      </c>
      <c r="GF22" s="7">
        <v>231</v>
      </c>
      <c r="GG22" s="7">
        <v>1986</v>
      </c>
      <c r="GH22" s="7">
        <v>2439</v>
      </c>
      <c r="GI22" s="7">
        <v>2433</v>
      </c>
      <c r="GJ22" s="7">
        <v>1597</v>
      </c>
      <c r="GK22" s="7">
        <v>936</v>
      </c>
      <c r="GL22" s="7">
        <v>922</v>
      </c>
      <c r="GM22" s="7">
        <v>849</v>
      </c>
      <c r="GN22" s="7">
        <v>703</v>
      </c>
      <c r="GO22" s="7">
        <v>506</v>
      </c>
      <c r="GP22" s="7">
        <v>513</v>
      </c>
      <c r="GQ22" s="7">
        <v>402</v>
      </c>
      <c r="GR22" s="7">
        <v>353</v>
      </c>
      <c r="GS22" s="7">
        <v>280</v>
      </c>
      <c r="GT22" s="7">
        <v>197</v>
      </c>
      <c r="GU22" s="7">
        <v>181</v>
      </c>
      <c r="GV22" s="7">
        <v>78</v>
      </c>
      <c r="GW22" s="7">
        <v>71</v>
      </c>
      <c r="GX22" s="7">
        <v>66</v>
      </c>
      <c r="GY22" s="7">
        <v>2104</v>
      </c>
      <c r="GZ22" s="7">
        <v>2528</v>
      </c>
      <c r="HA22" s="7">
        <v>2383</v>
      </c>
      <c r="HB22" s="7">
        <v>1826</v>
      </c>
      <c r="HC22" s="7">
        <v>1639</v>
      </c>
      <c r="HD22" s="7">
        <v>1675</v>
      </c>
      <c r="HE22" s="7">
        <v>1406</v>
      </c>
      <c r="HF22" s="7">
        <v>1273</v>
      </c>
      <c r="HG22" s="7">
        <v>1007</v>
      </c>
      <c r="HH22" s="7">
        <v>981</v>
      </c>
      <c r="HI22" s="7">
        <v>716</v>
      </c>
      <c r="HJ22" s="7">
        <v>552</v>
      </c>
      <c r="HK22" s="7">
        <v>430</v>
      </c>
      <c r="HL22" s="7">
        <v>352</v>
      </c>
      <c r="HM22" s="7">
        <v>288</v>
      </c>
      <c r="HN22" s="7">
        <v>118</v>
      </c>
      <c r="HO22" s="7">
        <v>130</v>
      </c>
      <c r="HP22" s="7">
        <v>98</v>
      </c>
      <c r="HQ22" s="7">
        <v>15971</v>
      </c>
      <c r="HR22" s="7">
        <v>3</v>
      </c>
      <c r="HS22" s="7">
        <v>3</v>
      </c>
      <c r="HT22" s="7">
        <v>3</v>
      </c>
      <c r="HU22" s="7">
        <v>0</v>
      </c>
      <c r="HV22" s="7">
        <v>0</v>
      </c>
      <c r="HW22" s="7">
        <v>0</v>
      </c>
      <c r="HX22" s="7">
        <v>209</v>
      </c>
      <c r="HY22" s="7">
        <v>1289</v>
      </c>
      <c r="HZ22" s="7">
        <v>2114</v>
      </c>
      <c r="IA22" s="7">
        <v>2280</v>
      </c>
      <c r="IB22" s="7">
        <v>2382</v>
      </c>
      <c r="IC22" s="7">
        <v>2248</v>
      </c>
      <c r="ID22" s="7">
        <v>2055</v>
      </c>
      <c r="IE22" s="7">
        <v>1372</v>
      </c>
      <c r="IF22" s="7">
        <v>1032</v>
      </c>
      <c r="IG22" s="7">
        <v>1311</v>
      </c>
      <c r="IH22" s="7">
        <v>1905</v>
      </c>
      <c r="II22" s="7">
        <v>8016</v>
      </c>
      <c r="IJ22" s="7">
        <v>3877</v>
      </c>
      <c r="IK22" s="7">
        <v>1331</v>
      </c>
      <c r="IL22" s="7">
        <v>595</v>
      </c>
      <c r="IM22" s="7">
        <v>160</v>
      </c>
      <c r="IN22" s="7">
        <v>43</v>
      </c>
      <c r="IO22" s="7">
        <v>20</v>
      </c>
      <c r="IP22" s="7">
        <v>16</v>
      </c>
      <c r="IQ22" s="7">
        <v>10245</v>
      </c>
      <c r="IR22" s="7">
        <v>4047</v>
      </c>
      <c r="IS22" s="7">
        <v>1071</v>
      </c>
      <c r="IT22" s="7">
        <v>474</v>
      </c>
      <c r="IU22" s="7">
        <v>135</v>
      </c>
      <c r="IV22" s="7">
        <v>2533</v>
      </c>
      <c r="IW22" s="7">
        <v>6853</v>
      </c>
      <c r="IX22" s="7">
        <v>1488</v>
      </c>
      <c r="IY22" s="7">
        <v>514</v>
      </c>
      <c r="IZ22" s="7">
        <v>24</v>
      </c>
      <c r="JA22" s="7">
        <v>4630</v>
      </c>
      <c r="JB22" s="7">
        <v>811</v>
      </c>
      <c r="JC22" s="7">
        <v>4867</v>
      </c>
      <c r="JD22" s="7">
        <v>190</v>
      </c>
      <c r="JE22" s="7">
        <v>91</v>
      </c>
      <c r="JF22" s="151">
        <v>14369.394547652366</v>
      </c>
      <c r="JG22" s="151">
        <v>1682.5408886191933</v>
      </c>
      <c r="JH22" s="7">
        <v>3931</v>
      </c>
      <c r="JI22" s="7">
        <v>11945</v>
      </c>
      <c r="JJ22" s="7">
        <v>162</v>
      </c>
      <c r="JK22" s="7">
        <v>45</v>
      </c>
      <c r="JL22" s="7">
        <v>478</v>
      </c>
      <c r="JM22" s="7">
        <v>168</v>
      </c>
      <c r="JN22" s="7">
        <v>978</v>
      </c>
      <c r="JO22" s="7">
        <v>8551</v>
      </c>
      <c r="JP22" s="7">
        <v>6430</v>
      </c>
      <c r="JQ22" s="7">
        <v>53</v>
      </c>
      <c r="JR22" s="7">
        <v>1187</v>
      </c>
      <c r="JS22" s="7">
        <v>2717</v>
      </c>
      <c r="JT22" s="7">
        <v>45</v>
      </c>
      <c r="JU22" s="151">
        <v>557.69849564136689</v>
      </c>
      <c r="JV22" s="151">
        <v>1953.0991727297398</v>
      </c>
      <c r="JW22" s="151">
        <v>11808.01150575865</v>
      </c>
      <c r="JX22" s="151">
        <v>50.585373522607988</v>
      </c>
      <c r="JY22" s="7">
        <v>15203</v>
      </c>
      <c r="JZ22" s="7">
        <v>76153</v>
      </c>
      <c r="KA22" s="7">
        <v>16</v>
      </c>
      <c r="KB22" s="7">
        <v>15</v>
      </c>
      <c r="KC22" s="7">
        <v>11</v>
      </c>
      <c r="KD22" s="7">
        <v>0</v>
      </c>
      <c r="KE22" s="7">
        <v>0</v>
      </c>
      <c r="KF22" s="7">
        <v>0</v>
      </c>
      <c r="KG22" s="7">
        <v>746</v>
      </c>
      <c r="KH22" s="7">
        <v>16539</v>
      </c>
      <c r="KI22" s="7">
        <v>59112</v>
      </c>
      <c r="KJ22" s="7">
        <v>756</v>
      </c>
      <c r="KK22" s="7">
        <v>216</v>
      </c>
      <c r="KL22" s="7">
        <v>2657</v>
      </c>
      <c r="KM22" s="7">
        <v>9305</v>
      </c>
      <c r="KN22" s="7">
        <v>56256</v>
      </c>
      <c r="KO22" s="7">
        <v>241</v>
      </c>
      <c r="KP22" s="7">
        <v>68459</v>
      </c>
      <c r="KQ22" s="7">
        <v>8016</v>
      </c>
      <c r="KR22" s="7">
        <v>10838</v>
      </c>
      <c r="KS22" s="7">
        <v>10838</v>
      </c>
      <c r="KT22" s="7">
        <v>2368</v>
      </c>
      <c r="KU22" s="7">
        <v>606</v>
      </c>
      <c r="KV22" s="7">
        <v>811</v>
      </c>
      <c r="KW22" s="7">
        <v>0</v>
      </c>
      <c r="KX22" s="7">
        <v>2349</v>
      </c>
      <c r="KY22" s="7">
        <v>511</v>
      </c>
      <c r="KZ22" s="7">
        <v>565</v>
      </c>
      <c r="LA22" s="7">
        <v>1</v>
      </c>
      <c r="LB22" s="7">
        <v>6521</v>
      </c>
      <c r="LC22" s="7">
        <v>6376</v>
      </c>
      <c r="LD22" s="7">
        <v>5737</v>
      </c>
      <c r="LE22" s="7">
        <v>12714</v>
      </c>
      <c r="LF22" s="7">
        <v>43445</v>
      </c>
      <c r="LG22" s="7">
        <v>67</v>
      </c>
      <c r="LH22" s="7">
        <v>11418</v>
      </c>
      <c r="LI22" s="7">
        <v>558</v>
      </c>
      <c r="LJ22" s="7">
        <v>1053</v>
      </c>
      <c r="LK22" s="7">
        <v>1</v>
      </c>
      <c r="LL22" s="7">
        <v>317</v>
      </c>
      <c r="LM22" s="7">
        <v>64</v>
      </c>
      <c r="LN22" s="7">
        <v>59</v>
      </c>
      <c r="LO22" s="7">
        <v>10820</v>
      </c>
      <c r="LP22" s="7">
        <v>393</v>
      </c>
      <c r="LQ22" s="7">
        <v>809</v>
      </c>
      <c r="LR22" s="7">
        <v>1</v>
      </c>
      <c r="LS22" s="7">
        <v>180</v>
      </c>
      <c r="LT22" s="7">
        <v>28</v>
      </c>
      <c r="LU22" s="232">
        <v>3.3308589608000001</v>
      </c>
      <c r="LV22" s="232">
        <v>3.9639378783999999</v>
      </c>
      <c r="LW22" s="232">
        <v>2.8376737891000001</v>
      </c>
      <c r="LX22" s="7">
        <v>16083</v>
      </c>
      <c r="LY22" s="7">
        <v>76623</v>
      </c>
    </row>
    <row r="23" spans="1:337" x14ac:dyDescent="0.25">
      <c r="A23" t="s">
        <v>84</v>
      </c>
      <c r="B23" t="s">
        <v>85</v>
      </c>
      <c r="C23" s="7">
        <v>7568</v>
      </c>
      <c r="D23">
        <v>10817</v>
      </c>
      <c r="F23">
        <f t="shared" si="0"/>
        <v>-10817</v>
      </c>
      <c r="G23">
        <f t="shared" si="1"/>
        <v>-100</v>
      </c>
      <c r="H23">
        <v>5376</v>
      </c>
      <c r="I23">
        <v>5441</v>
      </c>
      <c r="J23">
        <v>7008</v>
      </c>
      <c r="K23">
        <v>3809</v>
      </c>
      <c r="L23" s="7">
        <v>968</v>
      </c>
      <c r="M23" s="7">
        <v>976</v>
      </c>
      <c r="N23" s="7">
        <v>770</v>
      </c>
      <c r="O23" s="7">
        <v>532</v>
      </c>
      <c r="P23" s="7">
        <v>371</v>
      </c>
      <c r="Q23" s="7">
        <v>322</v>
      </c>
      <c r="R23" s="7">
        <v>310</v>
      </c>
      <c r="S23" s="7">
        <v>240</v>
      </c>
      <c r="T23" s="7">
        <v>172</v>
      </c>
      <c r="U23" s="7">
        <v>152</v>
      </c>
      <c r="V23" s="7">
        <v>112</v>
      </c>
      <c r="W23" s="7">
        <v>118</v>
      </c>
      <c r="X23" s="7">
        <v>92</v>
      </c>
      <c r="Y23" s="7">
        <v>226</v>
      </c>
      <c r="Z23" s="7">
        <v>15</v>
      </c>
      <c r="AA23" s="7">
        <v>930</v>
      </c>
      <c r="AB23" s="7">
        <v>1011</v>
      </c>
      <c r="AC23" s="7">
        <v>786</v>
      </c>
      <c r="AD23" s="7">
        <v>556</v>
      </c>
      <c r="AE23" s="7">
        <v>407</v>
      </c>
      <c r="AF23" s="7">
        <v>319</v>
      </c>
      <c r="AG23" s="7">
        <v>287</v>
      </c>
      <c r="AH23" s="7">
        <v>231</v>
      </c>
      <c r="AI23" s="7">
        <v>169</v>
      </c>
      <c r="AJ23" s="7">
        <v>163</v>
      </c>
      <c r="AK23" s="7">
        <v>111</v>
      </c>
      <c r="AL23" s="7">
        <v>127</v>
      </c>
      <c r="AM23" s="7">
        <v>108</v>
      </c>
      <c r="AN23" s="7">
        <v>220</v>
      </c>
      <c r="AO23" s="7">
        <v>16</v>
      </c>
      <c r="AP23">
        <v>10770</v>
      </c>
      <c r="AQ23" t="s">
        <v>358</v>
      </c>
      <c r="AR23" t="s">
        <v>358</v>
      </c>
      <c r="AS23" t="s">
        <v>358</v>
      </c>
      <c r="AT23">
        <v>47</v>
      </c>
      <c r="AU23" s="7">
        <v>9638</v>
      </c>
      <c r="AV23" s="7">
        <v>4773</v>
      </c>
      <c r="AW23" s="7">
        <v>4865</v>
      </c>
      <c r="AX23" s="7">
        <v>5510</v>
      </c>
      <c r="AY23" s="7">
        <v>9638</v>
      </c>
      <c r="AZ23" s="7">
        <v>3369</v>
      </c>
      <c r="BA23" s="7">
        <v>6269</v>
      </c>
      <c r="BB23" s="7">
        <v>392</v>
      </c>
      <c r="BC23" s="7">
        <v>390</v>
      </c>
      <c r="BD23" s="7">
        <v>974</v>
      </c>
      <c r="BE23" s="7">
        <v>1008</v>
      </c>
      <c r="BF23" s="7">
        <v>769</v>
      </c>
      <c r="BG23" s="7">
        <v>785</v>
      </c>
      <c r="BH23" s="7">
        <v>531</v>
      </c>
      <c r="BI23" s="7">
        <v>552</v>
      </c>
      <c r="BJ23" s="7">
        <v>369</v>
      </c>
      <c r="BK23" s="7">
        <v>404</v>
      </c>
      <c r="BL23" s="7">
        <v>321</v>
      </c>
      <c r="BM23" s="7">
        <v>318</v>
      </c>
      <c r="BN23" s="7">
        <v>309</v>
      </c>
      <c r="BO23" s="7">
        <v>285</v>
      </c>
      <c r="BP23" s="7">
        <v>239</v>
      </c>
      <c r="BQ23" s="7">
        <v>229</v>
      </c>
      <c r="BR23" s="7">
        <v>170</v>
      </c>
      <c r="BS23" s="7">
        <v>169</v>
      </c>
      <c r="BT23" s="7">
        <v>152</v>
      </c>
      <c r="BU23" s="7">
        <v>161</v>
      </c>
      <c r="BV23" s="7">
        <v>112</v>
      </c>
      <c r="BW23" s="7">
        <v>111</v>
      </c>
      <c r="BX23" s="7">
        <v>118</v>
      </c>
      <c r="BY23" s="7">
        <v>126</v>
      </c>
      <c r="BZ23" s="7">
        <v>92</v>
      </c>
      <c r="CA23" s="7">
        <v>107</v>
      </c>
      <c r="CB23" s="7">
        <v>225</v>
      </c>
      <c r="CC23" s="7">
        <v>220</v>
      </c>
      <c r="CD23" s="7">
        <v>2782</v>
      </c>
      <c r="CE23" s="7">
        <v>2314</v>
      </c>
      <c r="CF23" s="7">
        <v>1962</v>
      </c>
      <c r="CG23" s="7">
        <v>2531</v>
      </c>
      <c r="CH23" s="7">
        <v>1561</v>
      </c>
      <c r="CI23" s="7">
        <v>212</v>
      </c>
      <c r="CJ23" s="7">
        <v>9874</v>
      </c>
      <c r="CK23" s="7">
        <v>913</v>
      </c>
      <c r="CL23" s="7">
        <v>71</v>
      </c>
      <c r="CM23" s="7">
        <v>143</v>
      </c>
      <c r="CN23" s="7">
        <v>155</v>
      </c>
      <c r="CO23" s="7">
        <v>174</v>
      </c>
      <c r="CP23" s="7">
        <v>212</v>
      </c>
      <c r="CQ23" s="7">
        <v>1018</v>
      </c>
      <c r="CR23" s="7">
        <v>1477</v>
      </c>
      <c r="CS23" s="7">
        <v>6317</v>
      </c>
      <c r="CT23" s="7">
        <v>723</v>
      </c>
      <c r="CU23" s="7">
        <v>276</v>
      </c>
      <c r="CV23" s="7">
        <v>89</v>
      </c>
      <c r="CW23" s="7">
        <v>85</v>
      </c>
      <c r="CX23" s="7">
        <v>0</v>
      </c>
      <c r="CY23" s="7">
        <v>7144</v>
      </c>
      <c r="CZ23" s="7">
        <v>3311</v>
      </c>
      <c r="DA23" s="7">
        <v>0</v>
      </c>
      <c r="DB23" s="7">
        <v>71</v>
      </c>
      <c r="DC23" s="7">
        <v>0</v>
      </c>
      <c r="DD23" s="7">
        <v>903</v>
      </c>
      <c r="DE23" s="7">
        <v>717</v>
      </c>
      <c r="DF23" s="7">
        <v>2189</v>
      </c>
      <c r="DG23" s="7">
        <v>0</v>
      </c>
      <c r="DH23" s="7">
        <v>7008</v>
      </c>
      <c r="DI23" s="7">
        <v>0</v>
      </c>
      <c r="DJ23" s="7">
        <v>0</v>
      </c>
      <c r="DK23" s="7">
        <v>0</v>
      </c>
      <c r="DL23" s="7">
        <v>10</v>
      </c>
      <c r="DM23" s="7">
        <v>2</v>
      </c>
      <c r="DN23" s="7">
        <v>3</v>
      </c>
      <c r="DO23" s="7">
        <v>0</v>
      </c>
      <c r="DP23" s="7">
        <v>1</v>
      </c>
      <c r="DQ23" s="7">
        <v>0</v>
      </c>
      <c r="DR23" s="7">
        <v>0</v>
      </c>
      <c r="DS23" s="7">
        <v>0</v>
      </c>
      <c r="DT23" s="7">
        <v>9</v>
      </c>
      <c r="DU23" s="7">
        <v>16</v>
      </c>
      <c r="DV23" s="7">
        <v>5</v>
      </c>
      <c r="DW23" s="7">
        <v>4</v>
      </c>
      <c r="DX23" s="7">
        <v>5</v>
      </c>
      <c r="DY23" s="7">
        <v>2</v>
      </c>
      <c r="DZ23" s="7">
        <v>7</v>
      </c>
      <c r="EA23" s="7">
        <v>9</v>
      </c>
      <c r="EB23" s="7">
        <v>2</v>
      </c>
      <c r="EC23" s="7">
        <v>0</v>
      </c>
      <c r="ED23" s="7">
        <v>1</v>
      </c>
      <c r="EE23" s="7">
        <v>3</v>
      </c>
      <c r="EF23" s="7">
        <v>8</v>
      </c>
      <c r="EG23" s="7">
        <v>8</v>
      </c>
      <c r="EH23" s="7">
        <v>16</v>
      </c>
      <c r="EI23" s="7">
        <v>8</v>
      </c>
      <c r="EJ23" s="7">
        <v>6</v>
      </c>
      <c r="EK23" s="7">
        <v>16</v>
      </c>
      <c r="EL23" s="7">
        <v>2</v>
      </c>
      <c r="EM23" s="7">
        <v>4</v>
      </c>
      <c r="EN23" s="7">
        <v>14</v>
      </c>
      <c r="EO23" s="7">
        <v>2133</v>
      </c>
      <c r="EP23" s="7">
        <v>2131</v>
      </c>
      <c r="EQ23" s="7">
        <v>2</v>
      </c>
      <c r="ER23" s="7">
        <v>939</v>
      </c>
      <c r="ES23" s="7">
        <v>582</v>
      </c>
      <c r="ET23" s="7">
        <v>582</v>
      </c>
      <c r="EU23" s="7">
        <v>0</v>
      </c>
      <c r="EV23" s="7">
        <v>2529</v>
      </c>
      <c r="EW23" s="134">
        <v>94.783573806999996</v>
      </c>
      <c r="EX23" s="134">
        <v>1.5908250092</v>
      </c>
      <c r="EY23" s="134">
        <v>0.44395116540000001</v>
      </c>
      <c r="EZ23" s="134">
        <v>2.7376988530999999</v>
      </c>
      <c r="FA23" s="134">
        <v>0.44395116540000001</v>
      </c>
      <c r="FB23" s="7">
        <v>671</v>
      </c>
      <c r="FC23" s="7">
        <v>1392</v>
      </c>
      <c r="FD23" s="7">
        <v>87</v>
      </c>
      <c r="FE23" s="7">
        <v>404</v>
      </c>
      <c r="FF23" s="7">
        <v>0</v>
      </c>
      <c r="FG23" s="7">
        <v>149</v>
      </c>
      <c r="FH23" s="7">
        <v>10</v>
      </c>
      <c r="FI23" s="134">
        <v>95.301516832999994</v>
      </c>
      <c r="FJ23" s="134">
        <v>1.3318534960999999</v>
      </c>
      <c r="FK23" s="134">
        <v>2.0347761746000002</v>
      </c>
      <c r="FL23" s="134">
        <v>1.3318534960999999</v>
      </c>
      <c r="FM23" s="151">
        <v>4489</v>
      </c>
      <c r="FN23" s="151">
        <v>850</v>
      </c>
      <c r="FO23" s="7">
        <v>235</v>
      </c>
      <c r="FP23" s="7">
        <v>11</v>
      </c>
      <c r="FQ23" s="7">
        <v>1</v>
      </c>
      <c r="FR23" s="7">
        <v>3</v>
      </c>
      <c r="FS23" s="7">
        <v>4237</v>
      </c>
      <c r="FT23" s="7">
        <v>6</v>
      </c>
      <c r="FU23" s="7">
        <v>1</v>
      </c>
      <c r="FV23" s="7">
        <v>37</v>
      </c>
      <c r="FW23" s="7">
        <v>4623</v>
      </c>
      <c r="FX23" s="7">
        <v>780</v>
      </c>
      <c r="FY23" s="7">
        <v>240</v>
      </c>
      <c r="FZ23" s="7">
        <v>9</v>
      </c>
      <c r="GA23" s="7">
        <v>2</v>
      </c>
      <c r="GB23" s="7">
        <v>0</v>
      </c>
      <c r="GC23" s="7">
        <v>4375</v>
      </c>
      <c r="GD23" s="7">
        <v>1</v>
      </c>
      <c r="GE23" s="7">
        <v>0</v>
      </c>
      <c r="GF23" s="7">
        <v>38</v>
      </c>
      <c r="GG23" s="7">
        <v>785</v>
      </c>
      <c r="GH23" s="7">
        <v>830</v>
      </c>
      <c r="GI23" s="7">
        <v>649</v>
      </c>
      <c r="GJ23" s="7">
        <v>435</v>
      </c>
      <c r="GK23" s="7">
        <v>310</v>
      </c>
      <c r="GL23" s="7">
        <v>253</v>
      </c>
      <c r="GM23" s="7">
        <v>254</v>
      </c>
      <c r="GN23" s="7">
        <v>213</v>
      </c>
      <c r="GO23" s="7">
        <v>154</v>
      </c>
      <c r="GP23" s="7">
        <v>132</v>
      </c>
      <c r="GQ23" s="7">
        <v>94</v>
      </c>
      <c r="GR23" s="7">
        <v>101</v>
      </c>
      <c r="GS23" s="7">
        <v>81</v>
      </c>
      <c r="GT23" s="7">
        <v>67</v>
      </c>
      <c r="GU23" s="7">
        <v>65</v>
      </c>
      <c r="GV23" s="7">
        <v>31</v>
      </c>
      <c r="GW23" s="7">
        <v>15</v>
      </c>
      <c r="GX23" s="7">
        <v>20</v>
      </c>
      <c r="GY23" s="7">
        <v>738</v>
      </c>
      <c r="GZ23" s="7">
        <v>856</v>
      </c>
      <c r="HA23" s="7">
        <v>671</v>
      </c>
      <c r="HB23" s="7">
        <v>469</v>
      </c>
      <c r="HC23" s="7">
        <v>348</v>
      </c>
      <c r="HD23" s="7">
        <v>274</v>
      </c>
      <c r="HE23" s="7">
        <v>253</v>
      </c>
      <c r="HF23" s="7">
        <v>213</v>
      </c>
      <c r="HG23" s="7">
        <v>147</v>
      </c>
      <c r="HH23" s="7">
        <v>139</v>
      </c>
      <c r="HI23" s="7">
        <v>100</v>
      </c>
      <c r="HJ23" s="7">
        <v>111</v>
      </c>
      <c r="HK23" s="7">
        <v>101</v>
      </c>
      <c r="HL23" s="7">
        <v>78</v>
      </c>
      <c r="HM23" s="7">
        <v>63</v>
      </c>
      <c r="HN23" s="7">
        <v>23</v>
      </c>
      <c r="HO23" s="7">
        <v>17</v>
      </c>
      <c r="HP23" s="7">
        <v>21</v>
      </c>
      <c r="HQ23" s="7">
        <v>1768</v>
      </c>
      <c r="HR23" s="7">
        <v>0</v>
      </c>
      <c r="HS23" s="7">
        <v>0</v>
      </c>
      <c r="HT23" s="7">
        <v>0</v>
      </c>
      <c r="HU23" s="7">
        <v>0</v>
      </c>
      <c r="HV23" s="7">
        <v>1</v>
      </c>
      <c r="HW23" s="7">
        <v>0</v>
      </c>
      <c r="HX23" s="7">
        <v>14</v>
      </c>
      <c r="HY23" s="7">
        <v>70</v>
      </c>
      <c r="HZ23" s="7">
        <v>143</v>
      </c>
      <c r="IA23" s="7">
        <v>155</v>
      </c>
      <c r="IB23" s="7">
        <v>174</v>
      </c>
      <c r="IC23" s="7">
        <v>212</v>
      </c>
      <c r="ID23" s="7">
        <v>274</v>
      </c>
      <c r="IE23" s="7">
        <v>199</v>
      </c>
      <c r="IF23" s="7">
        <v>183</v>
      </c>
      <c r="IG23" s="7">
        <v>362</v>
      </c>
      <c r="IH23" s="7">
        <v>14</v>
      </c>
      <c r="II23" s="7">
        <v>880</v>
      </c>
      <c r="IJ23" s="7">
        <v>606</v>
      </c>
      <c r="IK23" s="7">
        <v>184</v>
      </c>
      <c r="IL23" s="7">
        <v>35</v>
      </c>
      <c r="IM23" s="7">
        <v>5</v>
      </c>
      <c r="IN23" s="7">
        <v>5</v>
      </c>
      <c r="IO23" s="7">
        <v>0</v>
      </c>
      <c r="IP23" s="7">
        <v>0</v>
      </c>
      <c r="IQ23" s="7">
        <v>898</v>
      </c>
      <c r="IR23" s="7">
        <v>605</v>
      </c>
      <c r="IS23" s="7">
        <v>183</v>
      </c>
      <c r="IT23" s="7">
        <v>35</v>
      </c>
      <c r="IU23" s="7">
        <v>10</v>
      </c>
      <c r="IV23" s="7">
        <v>200</v>
      </c>
      <c r="IW23" s="7">
        <v>741</v>
      </c>
      <c r="IX23" s="7">
        <v>23</v>
      </c>
      <c r="IY23" s="7">
        <v>3</v>
      </c>
      <c r="IZ23" s="7">
        <v>1</v>
      </c>
      <c r="JA23" s="7">
        <v>795</v>
      </c>
      <c r="JB23" s="7">
        <v>40</v>
      </c>
      <c r="JC23" s="7">
        <v>163</v>
      </c>
      <c r="JD23" s="7">
        <v>7</v>
      </c>
      <c r="JE23" s="7">
        <v>0</v>
      </c>
      <c r="JF23" s="151">
        <v>1640.5222978554705</v>
      </c>
      <c r="JG23" s="151">
        <v>126.06758866397614</v>
      </c>
      <c r="JH23" s="7">
        <v>322</v>
      </c>
      <c r="JI23" s="7">
        <v>1436</v>
      </c>
      <c r="JJ23" s="7">
        <v>3</v>
      </c>
      <c r="JK23" s="7">
        <v>11</v>
      </c>
      <c r="JL23" s="7">
        <v>24</v>
      </c>
      <c r="JM23" s="7">
        <v>2</v>
      </c>
      <c r="JN23" s="7">
        <v>31</v>
      </c>
      <c r="JO23" s="7">
        <v>832</v>
      </c>
      <c r="JP23" s="7">
        <v>676</v>
      </c>
      <c r="JQ23" s="7">
        <v>2</v>
      </c>
      <c r="JR23" s="7">
        <v>68</v>
      </c>
      <c r="JS23" s="7">
        <v>33</v>
      </c>
      <c r="JT23" s="7">
        <v>4</v>
      </c>
      <c r="JU23" s="151">
        <v>16.272087715428473</v>
      </c>
      <c r="JV23" s="151">
        <v>117.35626897793867</v>
      </c>
      <c r="JW23" s="151">
        <v>1496.7033407746633</v>
      </c>
      <c r="JX23" s="151">
        <v>10.190600387440053</v>
      </c>
      <c r="JY23" s="7">
        <v>1673</v>
      </c>
      <c r="JZ23" s="7">
        <v>10757</v>
      </c>
      <c r="KA23" s="7">
        <v>0</v>
      </c>
      <c r="KB23" s="7">
        <v>0</v>
      </c>
      <c r="KC23" s="7">
        <v>0</v>
      </c>
      <c r="KD23" s="7">
        <v>0</v>
      </c>
      <c r="KE23" s="7">
        <v>1</v>
      </c>
      <c r="KF23" s="7">
        <v>0</v>
      </c>
      <c r="KG23" s="7">
        <v>59</v>
      </c>
      <c r="KH23" s="7">
        <v>1836</v>
      </c>
      <c r="KI23" s="7">
        <v>8862</v>
      </c>
      <c r="KJ23" s="7">
        <v>21</v>
      </c>
      <c r="KK23" s="7">
        <v>67</v>
      </c>
      <c r="KL23" s="7">
        <v>99</v>
      </c>
      <c r="KM23" s="7">
        <v>714</v>
      </c>
      <c r="KN23" s="7">
        <v>9106</v>
      </c>
      <c r="KO23" s="7">
        <v>62</v>
      </c>
      <c r="KP23" s="7">
        <v>9981</v>
      </c>
      <c r="KQ23" s="7">
        <v>767</v>
      </c>
      <c r="KR23" s="7">
        <v>2112</v>
      </c>
      <c r="KS23" s="7">
        <v>2112</v>
      </c>
      <c r="KT23" s="7">
        <v>445</v>
      </c>
      <c r="KU23" s="7">
        <v>142</v>
      </c>
      <c r="KV23" s="7">
        <v>368</v>
      </c>
      <c r="KW23" s="7">
        <v>0</v>
      </c>
      <c r="KX23" s="7">
        <v>455</v>
      </c>
      <c r="KY23" s="7">
        <v>129</v>
      </c>
      <c r="KZ23" s="7">
        <v>351</v>
      </c>
      <c r="LA23" s="7">
        <v>0</v>
      </c>
      <c r="LB23" s="7">
        <v>997</v>
      </c>
      <c r="LC23" s="7">
        <v>993</v>
      </c>
      <c r="LD23" s="7">
        <v>693</v>
      </c>
      <c r="LE23" s="7">
        <v>1140</v>
      </c>
      <c r="LF23" s="7">
        <v>5345</v>
      </c>
      <c r="LG23" s="7">
        <v>4</v>
      </c>
      <c r="LH23" s="7">
        <v>1149</v>
      </c>
      <c r="LI23" s="7">
        <v>229</v>
      </c>
      <c r="LJ23" s="7">
        <v>430</v>
      </c>
      <c r="LK23" s="7">
        <v>0</v>
      </c>
      <c r="LL23" s="7">
        <v>248</v>
      </c>
      <c r="LM23" s="7">
        <v>23</v>
      </c>
      <c r="LN23" s="7">
        <v>5</v>
      </c>
      <c r="LO23" s="7">
        <v>980</v>
      </c>
      <c r="LP23" s="7">
        <v>213</v>
      </c>
      <c r="LQ23" s="7">
        <v>358</v>
      </c>
      <c r="LR23" s="7">
        <v>0</v>
      </c>
      <c r="LS23" s="7">
        <v>174</v>
      </c>
      <c r="LT23" s="7">
        <v>5</v>
      </c>
      <c r="LU23" s="232">
        <v>4.7404494381999998</v>
      </c>
      <c r="LV23" s="232">
        <v>5.2967863894000002</v>
      </c>
      <c r="LW23" s="232">
        <v>4.1944341373</v>
      </c>
      <c r="LX23" s="7">
        <v>1772</v>
      </c>
      <c r="LY23" s="7">
        <v>10786</v>
      </c>
    </row>
    <row r="24" spans="1:337" x14ac:dyDescent="0.25">
      <c r="A24" t="s">
        <v>86</v>
      </c>
      <c r="B24" t="s">
        <v>87</v>
      </c>
      <c r="C24" s="7">
        <v>6965</v>
      </c>
      <c r="D24">
        <v>7332</v>
      </c>
      <c r="F24">
        <f t="shared" si="0"/>
        <v>-7332</v>
      </c>
      <c r="G24">
        <f t="shared" si="1"/>
        <v>-100</v>
      </c>
      <c r="H24">
        <v>3660</v>
      </c>
      <c r="I24">
        <v>3672</v>
      </c>
      <c r="J24">
        <v>3129</v>
      </c>
      <c r="K24">
        <v>4203</v>
      </c>
      <c r="L24" s="7">
        <v>411</v>
      </c>
      <c r="M24" s="7">
        <v>434</v>
      </c>
      <c r="N24" s="7">
        <v>507</v>
      </c>
      <c r="O24" s="7">
        <v>501</v>
      </c>
      <c r="P24" s="7">
        <v>307</v>
      </c>
      <c r="Q24" s="7">
        <v>194</v>
      </c>
      <c r="R24" s="7">
        <v>205</v>
      </c>
      <c r="S24" s="7">
        <v>224</v>
      </c>
      <c r="T24" s="7">
        <v>179</v>
      </c>
      <c r="U24" s="7">
        <v>150</v>
      </c>
      <c r="V24" s="7">
        <v>118</v>
      </c>
      <c r="W24" s="7">
        <v>115</v>
      </c>
      <c r="X24" s="7">
        <v>86</v>
      </c>
      <c r="Y24" s="7">
        <v>228</v>
      </c>
      <c r="Z24" s="7">
        <v>1</v>
      </c>
      <c r="AA24" s="7">
        <v>357</v>
      </c>
      <c r="AB24" s="7">
        <v>462</v>
      </c>
      <c r="AC24" s="7">
        <v>515</v>
      </c>
      <c r="AD24" s="7">
        <v>468</v>
      </c>
      <c r="AE24" s="7">
        <v>337</v>
      </c>
      <c r="AF24" s="7">
        <v>238</v>
      </c>
      <c r="AG24" s="7">
        <v>232</v>
      </c>
      <c r="AH24" s="7">
        <v>204</v>
      </c>
      <c r="AI24" s="7">
        <v>195</v>
      </c>
      <c r="AJ24" s="7">
        <v>151</v>
      </c>
      <c r="AK24" s="7">
        <v>136</v>
      </c>
      <c r="AL24" s="7">
        <v>105</v>
      </c>
      <c r="AM24" s="7">
        <v>95</v>
      </c>
      <c r="AN24" s="7">
        <v>177</v>
      </c>
      <c r="AO24" s="7">
        <v>0</v>
      </c>
      <c r="AP24">
        <v>7249</v>
      </c>
      <c r="AQ24">
        <v>40</v>
      </c>
      <c r="AR24">
        <v>2</v>
      </c>
      <c r="AS24" t="s">
        <v>358</v>
      </c>
      <c r="AT24">
        <v>41</v>
      </c>
      <c r="AU24" s="7">
        <v>5317</v>
      </c>
      <c r="AV24" s="7">
        <v>2674</v>
      </c>
      <c r="AW24" s="7">
        <v>2643</v>
      </c>
      <c r="AX24" s="7">
        <v>4640</v>
      </c>
      <c r="AY24" s="7">
        <v>5317</v>
      </c>
      <c r="AZ24" s="7">
        <v>3469</v>
      </c>
      <c r="BA24" s="7">
        <v>1848</v>
      </c>
      <c r="BB24" s="7">
        <v>91</v>
      </c>
      <c r="BC24" s="7">
        <v>77</v>
      </c>
      <c r="BD24" s="7">
        <v>261</v>
      </c>
      <c r="BE24" s="7">
        <v>274</v>
      </c>
      <c r="BF24" s="7">
        <v>351</v>
      </c>
      <c r="BG24" s="7">
        <v>353</v>
      </c>
      <c r="BH24" s="7">
        <v>382</v>
      </c>
      <c r="BI24" s="7">
        <v>332</v>
      </c>
      <c r="BJ24" s="7">
        <v>243</v>
      </c>
      <c r="BK24" s="7">
        <v>257</v>
      </c>
      <c r="BL24" s="7">
        <v>165</v>
      </c>
      <c r="BM24" s="7">
        <v>190</v>
      </c>
      <c r="BN24" s="7">
        <v>180</v>
      </c>
      <c r="BO24" s="7">
        <v>198</v>
      </c>
      <c r="BP24" s="7">
        <v>200</v>
      </c>
      <c r="BQ24" s="7">
        <v>176</v>
      </c>
      <c r="BR24" s="7">
        <v>153</v>
      </c>
      <c r="BS24" s="7">
        <v>170</v>
      </c>
      <c r="BT24" s="7">
        <v>135</v>
      </c>
      <c r="BU24" s="7">
        <v>136</v>
      </c>
      <c r="BV24" s="7">
        <v>110</v>
      </c>
      <c r="BW24" s="7">
        <v>125</v>
      </c>
      <c r="BX24" s="7">
        <v>105</v>
      </c>
      <c r="BY24" s="7">
        <v>95</v>
      </c>
      <c r="BZ24" s="7">
        <v>79</v>
      </c>
      <c r="CA24" s="7">
        <v>89</v>
      </c>
      <c r="CB24" s="7">
        <v>219</v>
      </c>
      <c r="CC24" s="7">
        <v>171</v>
      </c>
      <c r="CD24" s="7">
        <v>2613</v>
      </c>
      <c r="CE24" s="7">
        <v>2546</v>
      </c>
      <c r="CF24" s="7">
        <v>32</v>
      </c>
      <c r="CG24" s="7">
        <v>62</v>
      </c>
      <c r="CH24" s="7">
        <v>1271</v>
      </c>
      <c r="CI24" s="7">
        <v>216</v>
      </c>
      <c r="CJ24" s="7">
        <v>6548</v>
      </c>
      <c r="CK24" s="7">
        <v>783</v>
      </c>
      <c r="CL24" s="7">
        <v>101</v>
      </c>
      <c r="CM24" s="7">
        <v>166</v>
      </c>
      <c r="CN24" s="7">
        <v>201</v>
      </c>
      <c r="CO24" s="7">
        <v>245</v>
      </c>
      <c r="CP24" s="7">
        <v>215</v>
      </c>
      <c r="CQ24" s="7">
        <v>559</v>
      </c>
      <c r="CR24" s="7">
        <v>1126</v>
      </c>
      <c r="CS24" s="7">
        <v>3841</v>
      </c>
      <c r="CT24" s="7">
        <v>459</v>
      </c>
      <c r="CU24" s="7">
        <v>159</v>
      </c>
      <c r="CV24" s="7">
        <v>60</v>
      </c>
      <c r="CW24" s="7">
        <v>166</v>
      </c>
      <c r="CX24" s="7">
        <v>10</v>
      </c>
      <c r="CY24" s="7">
        <v>4530</v>
      </c>
      <c r="CZ24" s="7">
        <v>2535</v>
      </c>
      <c r="DA24" s="7">
        <v>29</v>
      </c>
      <c r="DB24" s="7">
        <v>101</v>
      </c>
      <c r="DC24" s="7">
        <v>6</v>
      </c>
      <c r="DD24" s="7">
        <v>1626</v>
      </c>
      <c r="DE24" s="7">
        <v>1339</v>
      </c>
      <c r="DF24" s="7">
        <v>1238</v>
      </c>
      <c r="DG24" s="7">
        <v>3129</v>
      </c>
      <c r="DH24" s="7">
        <v>0</v>
      </c>
      <c r="DI24" s="7">
        <v>0</v>
      </c>
      <c r="DJ24" s="7">
        <v>0</v>
      </c>
      <c r="DK24" s="7">
        <v>0</v>
      </c>
      <c r="DL24" s="7">
        <v>21</v>
      </c>
      <c r="DM24" s="7">
        <v>4</v>
      </c>
      <c r="DN24" s="7">
        <v>2</v>
      </c>
      <c r="DO24" s="7">
        <v>1</v>
      </c>
      <c r="DP24" s="7">
        <v>0</v>
      </c>
      <c r="DQ24" s="7">
        <v>0</v>
      </c>
      <c r="DR24" s="7">
        <v>0</v>
      </c>
      <c r="DS24" s="7">
        <v>0</v>
      </c>
      <c r="DT24" s="7">
        <v>44</v>
      </c>
      <c r="DU24" s="7">
        <v>37</v>
      </c>
      <c r="DV24" s="7">
        <v>36</v>
      </c>
      <c r="DW24" s="7">
        <v>36</v>
      </c>
      <c r="DX24" s="7">
        <v>22</v>
      </c>
      <c r="DY24" s="7">
        <v>28</v>
      </c>
      <c r="DZ24" s="7">
        <v>16</v>
      </c>
      <c r="EA24" s="7">
        <v>23</v>
      </c>
      <c r="EB24" s="7">
        <v>5</v>
      </c>
      <c r="EC24" s="7">
        <v>4</v>
      </c>
      <c r="ED24" s="7">
        <v>8</v>
      </c>
      <c r="EE24" s="7">
        <v>6</v>
      </c>
      <c r="EF24" s="7">
        <v>20</v>
      </c>
      <c r="EG24" s="7">
        <v>8</v>
      </c>
      <c r="EH24" s="7">
        <v>66</v>
      </c>
      <c r="EI24" s="7">
        <v>60</v>
      </c>
      <c r="EJ24" s="7">
        <v>44</v>
      </c>
      <c r="EK24" s="7">
        <v>28</v>
      </c>
      <c r="EL24" s="7">
        <v>7</v>
      </c>
      <c r="EM24" s="7">
        <v>8</v>
      </c>
      <c r="EN24" s="7">
        <v>18</v>
      </c>
      <c r="EO24" s="7">
        <v>1858</v>
      </c>
      <c r="EP24" s="7">
        <v>1769</v>
      </c>
      <c r="EQ24" s="7">
        <v>89</v>
      </c>
      <c r="ER24" s="7">
        <v>704</v>
      </c>
      <c r="ES24" s="7">
        <v>241</v>
      </c>
      <c r="ET24" s="7">
        <v>237</v>
      </c>
      <c r="EU24" s="7">
        <v>4</v>
      </c>
      <c r="EV24" s="7">
        <v>2365</v>
      </c>
      <c r="EW24" s="134">
        <v>68.019093079000001</v>
      </c>
      <c r="EX24" s="134">
        <v>10.692124105</v>
      </c>
      <c r="EY24" s="134">
        <v>3.6276849642000002</v>
      </c>
      <c r="EZ24" s="134">
        <v>17.231503579999998</v>
      </c>
      <c r="FA24" s="134">
        <v>0.42959427210000001</v>
      </c>
      <c r="FB24" s="7">
        <v>299</v>
      </c>
      <c r="FC24" s="7">
        <v>874</v>
      </c>
      <c r="FD24" s="7">
        <v>64</v>
      </c>
      <c r="FE24" s="7">
        <v>403</v>
      </c>
      <c r="FF24" s="7">
        <v>0</v>
      </c>
      <c r="FG24" s="7">
        <v>279</v>
      </c>
      <c r="FH24" s="7">
        <v>178</v>
      </c>
      <c r="FI24" s="134">
        <v>60.381861575000002</v>
      </c>
      <c r="FJ24" s="134">
        <v>24.152744630000001</v>
      </c>
      <c r="FK24" s="134">
        <v>12.840095464999999</v>
      </c>
      <c r="FL24" s="134">
        <v>2.6252983294000001</v>
      </c>
      <c r="FM24" s="151">
        <v>2803</v>
      </c>
      <c r="FN24" s="151">
        <v>844</v>
      </c>
      <c r="FO24" s="7">
        <v>272</v>
      </c>
      <c r="FP24" s="7">
        <v>102</v>
      </c>
      <c r="FQ24" s="7">
        <v>18</v>
      </c>
      <c r="FR24" s="7">
        <v>0</v>
      </c>
      <c r="FS24" s="7">
        <v>2317</v>
      </c>
      <c r="FT24" s="7">
        <v>24</v>
      </c>
      <c r="FU24" s="7">
        <v>74</v>
      </c>
      <c r="FV24" s="7">
        <v>13</v>
      </c>
      <c r="FW24" s="7">
        <v>2977</v>
      </c>
      <c r="FX24" s="7">
        <v>673</v>
      </c>
      <c r="FY24" s="7">
        <v>265</v>
      </c>
      <c r="FZ24" s="7">
        <v>87</v>
      </c>
      <c r="GA24" s="7">
        <v>18</v>
      </c>
      <c r="GB24" s="7">
        <v>2</v>
      </c>
      <c r="GC24" s="7">
        <v>2511</v>
      </c>
      <c r="GD24" s="7">
        <v>37</v>
      </c>
      <c r="GE24" s="7">
        <v>60</v>
      </c>
      <c r="GF24" s="7">
        <v>22</v>
      </c>
      <c r="GG24" s="7">
        <v>296</v>
      </c>
      <c r="GH24" s="7">
        <v>349</v>
      </c>
      <c r="GI24" s="7">
        <v>409</v>
      </c>
      <c r="GJ24" s="7">
        <v>383</v>
      </c>
      <c r="GK24" s="7">
        <v>200</v>
      </c>
      <c r="GL24" s="7">
        <v>131</v>
      </c>
      <c r="GM24" s="7">
        <v>157</v>
      </c>
      <c r="GN24" s="7">
        <v>177</v>
      </c>
      <c r="GO24" s="7">
        <v>130</v>
      </c>
      <c r="GP24" s="7">
        <v>118</v>
      </c>
      <c r="GQ24" s="7">
        <v>96</v>
      </c>
      <c r="GR24" s="7">
        <v>90</v>
      </c>
      <c r="GS24" s="7">
        <v>67</v>
      </c>
      <c r="GT24" s="7">
        <v>80</v>
      </c>
      <c r="GU24" s="7">
        <v>42</v>
      </c>
      <c r="GV24" s="7">
        <v>46</v>
      </c>
      <c r="GW24" s="7">
        <v>16</v>
      </c>
      <c r="GX24" s="7">
        <v>16</v>
      </c>
      <c r="GY24" s="7">
        <v>250</v>
      </c>
      <c r="GZ24" s="7">
        <v>382</v>
      </c>
      <c r="HA24" s="7">
        <v>426</v>
      </c>
      <c r="HB24" s="7">
        <v>355</v>
      </c>
      <c r="HC24" s="7">
        <v>262</v>
      </c>
      <c r="HD24" s="7">
        <v>196</v>
      </c>
      <c r="HE24" s="7">
        <v>201</v>
      </c>
      <c r="HF24" s="7">
        <v>172</v>
      </c>
      <c r="HG24" s="7">
        <v>165</v>
      </c>
      <c r="HH24" s="7">
        <v>125</v>
      </c>
      <c r="HI24" s="7">
        <v>117</v>
      </c>
      <c r="HJ24" s="7">
        <v>93</v>
      </c>
      <c r="HK24" s="7">
        <v>74</v>
      </c>
      <c r="HL24" s="7">
        <v>69</v>
      </c>
      <c r="HM24" s="7">
        <v>34</v>
      </c>
      <c r="HN24" s="7">
        <v>26</v>
      </c>
      <c r="HO24" s="7">
        <v>16</v>
      </c>
      <c r="HP24" s="7">
        <v>14</v>
      </c>
      <c r="HQ24" s="7">
        <v>1468</v>
      </c>
      <c r="HR24" s="7">
        <v>0</v>
      </c>
      <c r="HS24" s="7">
        <v>3</v>
      </c>
      <c r="HT24" s="7">
        <v>0</v>
      </c>
      <c r="HU24" s="7">
        <v>2</v>
      </c>
      <c r="HV24" s="7">
        <v>0</v>
      </c>
      <c r="HW24" s="7">
        <v>0</v>
      </c>
      <c r="HX24" s="7">
        <v>14</v>
      </c>
      <c r="HY24" s="7">
        <v>101</v>
      </c>
      <c r="HZ24" s="7">
        <v>165</v>
      </c>
      <c r="IA24" s="7">
        <v>201</v>
      </c>
      <c r="IB24" s="7">
        <v>245</v>
      </c>
      <c r="IC24" s="7">
        <v>215</v>
      </c>
      <c r="ID24" s="7">
        <v>212</v>
      </c>
      <c r="IE24" s="7">
        <v>126</v>
      </c>
      <c r="IF24" s="7">
        <v>78</v>
      </c>
      <c r="IG24" s="7">
        <v>142</v>
      </c>
      <c r="IH24" s="7">
        <v>68</v>
      </c>
      <c r="II24" s="7">
        <v>239</v>
      </c>
      <c r="IJ24" s="7">
        <v>376</v>
      </c>
      <c r="IK24" s="7">
        <v>408</v>
      </c>
      <c r="IL24" s="7">
        <v>243</v>
      </c>
      <c r="IM24" s="7">
        <v>99</v>
      </c>
      <c r="IN24" s="7">
        <v>32</v>
      </c>
      <c r="IO24" s="7">
        <v>9</v>
      </c>
      <c r="IP24" s="7">
        <v>5</v>
      </c>
      <c r="IQ24" s="7">
        <v>461</v>
      </c>
      <c r="IR24" s="7">
        <v>523</v>
      </c>
      <c r="IS24" s="7">
        <v>303</v>
      </c>
      <c r="IT24" s="7">
        <v>141</v>
      </c>
      <c r="IU24" s="7">
        <v>53</v>
      </c>
      <c r="IV24" s="7">
        <v>847</v>
      </c>
      <c r="IW24" s="7">
        <v>367</v>
      </c>
      <c r="IX24" s="7">
        <v>3</v>
      </c>
      <c r="IY24" s="7">
        <v>20</v>
      </c>
      <c r="IZ24" s="7">
        <v>1</v>
      </c>
      <c r="JA24" s="7">
        <v>242</v>
      </c>
      <c r="JB24" s="7">
        <v>768</v>
      </c>
      <c r="JC24" s="7">
        <v>383</v>
      </c>
      <c r="JD24" s="7">
        <v>114</v>
      </c>
      <c r="JE24" s="7">
        <v>88</v>
      </c>
      <c r="JF24" s="151">
        <v>1312.7626615573315</v>
      </c>
      <c r="JG24" s="151">
        <v>158.21305253626679</v>
      </c>
      <c r="JH24" s="7">
        <v>551</v>
      </c>
      <c r="JI24" s="7">
        <v>894</v>
      </c>
      <c r="JJ24" s="7">
        <v>32</v>
      </c>
      <c r="JK24" s="7">
        <v>8</v>
      </c>
      <c r="JL24" s="7">
        <v>515</v>
      </c>
      <c r="JM24" s="7">
        <v>120</v>
      </c>
      <c r="JN24" s="7">
        <v>61</v>
      </c>
      <c r="JO24" s="7">
        <v>701</v>
      </c>
      <c r="JP24" s="7">
        <v>884</v>
      </c>
      <c r="JQ24" s="7">
        <v>61</v>
      </c>
      <c r="JR24" s="7">
        <v>78</v>
      </c>
      <c r="JS24" s="7">
        <v>49</v>
      </c>
      <c r="JT24" s="7">
        <v>10</v>
      </c>
      <c r="JU24" s="151">
        <v>139.75486307370232</v>
      </c>
      <c r="JV24" s="151">
        <v>1105.6658325322951</v>
      </c>
      <c r="JW24" s="151">
        <v>62.879546520823979</v>
      </c>
      <c r="JX24" s="151">
        <v>4.4624194305100886</v>
      </c>
      <c r="JY24" s="7">
        <v>1351</v>
      </c>
      <c r="JZ24" s="7">
        <v>7243</v>
      </c>
      <c r="KA24" s="7">
        <v>0</v>
      </c>
      <c r="KB24" s="7">
        <v>3</v>
      </c>
      <c r="KC24" s="7">
        <v>0</v>
      </c>
      <c r="KD24" s="7">
        <v>8</v>
      </c>
      <c r="KE24" s="7">
        <v>0</v>
      </c>
      <c r="KF24" s="7">
        <v>0</v>
      </c>
      <c r="KG24" s="7">
        <v>77</v>
      </c>
      <c r="KH24" s="7">
        <v>2693</v>
      </c>
      <c r="KI24" s="7">
        <v>4457</v>
      </c>
      <c r="KJ24" s="7">
        <v>127</v>
      </c>
      <c r="KK24" s="7">
        <v>46</v>
      </c>
      <c r="KL24" s="7">
        <v>689</v>
      </c>
      <c r="KM24" s="7">
        <v>5451</v>
      </c>
      <c r="KN24" s="7">
        <v>310</v>
      </c>
      <c r="KO24" s="7">
        <v>22</v>
      </c>
      <c r="KP24" s="7">
        <v>6472</v>
      </c>
      <c r="KQ24" s="7">
        <v>780</v>
      </c>
      <c r="KR24" s="7">
        <v>1360</v>
      </c>
      <c r="KS24" s="7">
        <v>1360</v>
      </c>
      <c r="KT24" s="7">
        <v>246</v>
      </c>
      <c r="KU24" s="7">
        <v>103</v>
      </c>
      <c r="KV24" s="7">
        <v>266</v>
      </c>
      <c r="KW24" s="7">
        <v>0</v>
      </c>
      <c r="KX24" s="7">
        <v>228</v>
      </c>
      <c r="KY24" s="7">
        <v>96</v>
      </c>
      <c r="KZ24" s="7">
        <v>289</v>
      </c>
      <c r="LA24" s="7">
        <v>0</v>
      </c>
      <c r="LB24" s="7">
        <v>712</v>
      </c>
      <c r="LC24" s="7">
        <v>776</v>
      </c>
      <c r="LD24" s="7">
        <v>306</v>
      </c>
      <c r="LE24" s="7">
        <v>599</v>
      </c>
      <c r="LF24" s="7">
        <v>4645</v>
      </c>
      <c r="LG24" s="7">
        <v>9</v>
      </c>
      <c r="LH24" s="7">
        <v>857</v>
      </c>
      <c r="LI24" s="7">
        <v>114</v>
      </c>
      <c r="LJ24" s="7">
        <v>417</v>
      </c>
      <c r="LK24" s="7">
        <v>0</v>
      </c>
      <c r="LL24" s="7">
        <v>392</v>
      </c>
      <c r="LM24" s="7">
        <v>163</v>
      </c>
      <c r="LN24" s="7">
        <v>4</v>
      </c>
      <c r="LO24" s="7">
        <v>696</v>
      </c>
      <c r="LP24" s="7">
        <v>107</v>
      </c>
      <c r="LQ24" s="7">
        <v>429</v>
      </c>
      <c r="LR24" s="7">
        <v>2</v>
      </c>
      <c r="LS24" s="7">
        <v>378</v>
      </c>
      <c r="LT24" s="7">
        <v>114</v>
      </c>
      <c r="LU24" s="232">
        <v>6.1690049644</v>
      </c>
      <c r="LV24" s="232">
        <v>6.5134782609000004</v>
      </c>
      <c r="LW24" s="232">
        <v>5.8294042006</v>
      </c>
      <c r="LX24" s="7">
        <v>1485</v>
      </c>
      <c r="LY24" s="7">
        <v>7323</v>
      </c>
    </row>
    <row r="25" spans="1:337" x14ac:dyDescent="0.25">
      <c r="A25" t="s">
        <v>88</v>
      </c>
      <c r="B25" t="s">
        <v>89</v>
      </c>
      <c r="C25" s="7">
        <v>27331</v>
      </c>
      <c r="D25">
        <v>36111</v>
      </c>
      <c r="F25">
        <f t="shared" si="0"/>
        <v>-36111</v>
      </c>
      <c r="G25">
        <f t="shared" si="1"/>
        <v>-100</v>
      </c>
      <c r="H25">
        <v>17820</v>
      </c>
      <c r="I25">
        <v>18291</v>
      </c>
      <c r="J25">
        <v>3143</v>
      </c>
      <c r="K25">
        <v>32968</v>
      </c>
      <c r="L25" s="7">
        <v>2745</v>
      </c>
      <c r="M25" s="7">
        <v>2689</v>
      </c>
      <c r="N25" s="7">
        <v>2569</v>
      </c>
      <c r="O25" s="7">
        <v>2125</v>
      </c>
      <c r="P25" s="7">
        <v>1582</v>
      </c>
      <c r="Q25" s="7">
        <v>1236</v>
      </c>
      <c r="R25" s="7">
        <v>976</v>
      </c>
      <c r="S25" s="7">
        <v>905</v>
      </c>
      <c r="T25" s="7">
        <v>652</v>
      </c>
      <c r="U25" s="7">
        <v>575</v>
      </c>
      <c r="V25" s="7">
        <v>338</v>
      </c>
      <c r="W25" s="7">
        <v>339</v>
      </c>
      <c r="X25" s="7">
        <v>238</v>
      </c>
      <c r="Y25" s="7">
        <v>563</v>
      </c>
      <c r="Z25" s="7">
        <v>288</v>
      </c>
      <c r="AA25" s="7">
        <v>2690</v>
      </c>
      <c r="AB25" s="7">
        <v>2642</v>
      </c>
      <c r="AC25" s="7">
        <v>2438</v>
      </c>
      <c r="AD25" s="7">
        <v>2182</v>
      </c>
      <c r="AE25" s="7">
        <v>1766</v>
      </c>
      <c r="AF25" s="7">
        <v>1422</v>
      </c>
      <c r="AG25" s="7">
        <v>1097</v>
      </c>
      <c r="AH25" s="7">
        <v>958</v>
      </c>
      <c r="AI25" s="7">
        <v>659</v>
      </c>
      <c r="AJ25" s="7">
        <v>597</v>
      </c>
      <c r="AK25" s="7">
        <v>344</v>
      </c>
      <c r="AL25" s="7">
        <v>321</v>
      </c>
      <c r="AM25" s="7">
        <v>290</v>
      </c>
      <c r="AN25" s="7">
        <v>594</v>
      </c>
      <c r="AO25" s="7">
        <v>291</v>
      </c>
      <c r="AP25">
        <v>35446</v>
      </c>
      <c r="AQ25">
        <v>26</v>
      </c>
      <c r="AR25">
        <v>6</v>
      </c>
      <c r="AS25">
        <v>2</v>
      </c>
      <c r="AT25">
        <v>631</v>
      </c>
      <c r="AU25" s="7">
        <v>31788</v>
      </c>
      <c r="AV25" s="7">
        <v>15675</v>
      </c>
      <c r="AW25" s="7">
        <v>16113</v>
      </c>
      <c r="AX25" s="7">
        <v>18953</v>
      </c>
      <c r="AY25" s="7">
        <v>31788</v>
      </c>
      <c r="AZ25" s="7">
        <v>29229</v>
      </c>
      <c r="BA25" s="7">
        <v>2559</v>
      </c>
      <c r="BB25" s="7">
        <v>1083</v>
      </c>
      <c r="BC25" s="7">
        <v>1035</v>
      </c>
      <c r="BD25" s="7">
        <v>2641</v>
      </c>
      <c r="BE25" s="7">
        <v>2589</v>
      </c>
      <c r="BF25" s="7">
        <v>2544</v>
      </c>
      <c r="BG25" s="7">
        <v>2404</v>
      </c>
      <c r="BH25" s="7">
        <v>2081</v>
      </c>
      <c r="BI25" s="7">
        <v>2147</v>
      </c>
      <c r="BJ25" s="7">
        <v>1560</v>
      </c>
      <c r="BK25" s="7">
        <v>1740</v>
      </c>
      <c r="BL25" s="7">
        <v>1220</v>
      </c>
      <c r="BM25" s="7">
        <v>1400</v>
      </c>
      <c r="BN25" s="7">
        <v>965</v>
      </c>
      <c r="BO25" s="7">
        <v>1080</v>
      </c>
      <c r="BP25" s="7">
        <v>896</v>
      </c>
      <c r="BQ25" s="7">
        <v>947</v>
      </c>
      <c r="BR25" s="7">
        <v>648</v>
      </c>
      <c r="BS25" s="7">
        <v>646</v>
      </c>
      <c r="BT25" s="7">
        <v>571</v>
      </c>
      <c r="BU25" s="7">
        <v>590</v>
      </c>
      <c r="BV25" s="7">
        <v>335</v>
      </c>
      <c r="BW25" s="7">
        <v>340</v>
      </c>
      <c r="BX25" s="7">
        <v>337</v>
      </c>
      <c r="BY25" s="7">
        <v>318</v>
      </c>
      <c r="BZ25" s="7">
        <v>235</v>
      </c>
      <c r="CA25" s="7">
        <v>290</v>
      </c>
      <c r="CB25" s="7">
        <v>559</v>
      </c>
      <c r="CC25" s="7">
        <v>587</v>
      </c>
      <c r="CD25" s="7">
        <v>6736</v>
      </c>
      <c r="CE25" s="7">
        <v>3766</v>
      </c>
      <c r="CF25" s="7">
        <v>8732</v>
      </c>
      <c r="CG25" s="7">
        <v>12112</v>
      </c>
      <c r="CH25" s="7">
        <v>5824</v>
      </c>
      <c r="CI25" s="7">
        <v>1009</v>
      </c>
      <c r="CJ25" s="7">
        <v>31651</v>
      </c>
      <c r="CK25" s="7">
        <v>3877</v>
      </c>
      <c r="CL25" s="7">
        <v>294</v>
      </c>
      <c r="CM25" s="7">
        <v>728</v>
      </c>
      <c r="CN25" s="7">
        <v>932</v>
      </c>
      <c r="CO25" s="7">
        <v>1032</v>
      </c>
      <c r="CP25" s="7">
        <v>974</v>
      </c>
      <c r="CQ25" s="7">
        <v>2873</v>
      </c>
      <c r="CR25" s="7">
        <v>5639</v>
      </c>
      <c r="CS25" s="7">
        <v>20474</v>
      </c>
      <c r="CT25" s="7">
        <v>1090</v>
      </c>
      <c r="CU25" s="7">
        <v>527</v>
      </c>
      <c r="CV25" s="7">
        <v>240</v>
      </c>
      <c r="CW25" s="7">
        <v>541</v>
      </c>
      <c r="CX25" s="7">
        <v>16</v>
      </c>
      <c r="CY25" s="7">
        <v>26298</v>
      </c>
      <c r="CZ25" s="7">
        <v>7790</v>
      </c>
      <c r="DA25" s="7">
        <v>41</v>
      </c>
      <c r="DB25" s="7">
        <v>294</v>
      </c>
      <c r="DC25" s="7">
        <v>11</v>
      </c>
      <c r="DD25" s="7">
        <v>8386</v>
      </c>
      <c r="DE25" s="7">
        <v>10023</v>
      </c>
      <c r="DF25" s="7">
        <v>14559</v>
      </c>
      <c r="DG25" s="7">
        <v>3143</v>
      </c>
      <c r="DH25" s="7">
        <v>0</v>
      </c>
      <c r="DI25" s="7">
        <v>0</v>
      </c>
      <c r="DJ25" s="7">
        <v>0</v>
      </c>
      <c r="DK25" s="7">
        <v>0</v>
      </c>
      <c r="DL25" s="7">
        <v>69</v>
      </c>
      <c r="DM25" s="7">
        <v>28</v>
      </c>
      <c r="DN25" s="7">
        <v>16</v>
      </c>
      <c r="DO25" s="7">
        <v>1</v>
      </c>
      <c r="DP25" s="7">
        <v>0</v>
      </c>
      <c r="DQ25" s="7">
        <v>0</v>
      </c>
      <c r="DR25" s="7">
        <v>0</v>
      </c>
      <c r="DS25" s="7">
        <v>0</v>
      </c>
      <c r="DT25" s="7">
        <v>110</v>
      </c>
      <c r="DU25" s="7">
        <v>105</v>
      </c>
      <c r="DV25" s="7">
        <v>67</v>
      </c>
      <c r="DW25" s="7">
        <v>79</v>
      </c>
      <c r="DX25" s="7">
        <v>24</v>
      </c>
      <c r="DY25" s="7">
        <v>31</v>
      </c>
      <c r="DZ25" s="7">
        <v>27</v>
      </c>
      <c r="EA25" s="7">
        <v>22</v>
      </c>
      <c r="EB25" s="7">
        <v>11</v>
      </c>
      <c r="EC25" s="7">
        <v>4</v>
      </c>
      <c r="ED25" s="7">
        <v>8</v>
      </c>
      <c r="EE25" s="7">
        <v>6</v>
      </c>
      <c r="EF25" s="7">
        <v>37</v>
      </c>
      <c r="EG25" s="7">
        <v>30</v>
      </c>
      <c r="EH25" s="7">
        <v>144</v>
      </c>
      <c r="EI25" s="7">
        <v>95</v>
      </c>
      <c r="EJ25" s="7">
        <v>33</v>
      </c>
      <c r="EK25" s="7">
        <v>32</v>
      </c>
      <c r="EL25" s="7">
        <v>10</v>
      </c>
      <c r="EM25" s="7">
        <v>13</v>
      </c>
      <c r="EN25" s="7">
        <v>38</v>
      </c>
      <c r="EO25" s="7">
        <v>8458</v>
      </c>
      <c r="EP25" s="7">
        <v>8349</v>
      </c>
      <c r="EQ25" s="7">
        <v>109</v>
      </c>
      <c r="ER25" s="7">
        <v>2448</v>
      </c>
      <c r="ES25" s="7">
        <v>2591</v>
      </c>
      <c r="ET25" s="7">
        <v>2577</v>
      </c>
      <c r="EU25" s="7">
        <v>14</v>
      </c>
      <c r="EV25" s="7">
        <v>8942</v>
      </c>
      <c r="EW25" s="134">
        <v>80.521866961000001</v>
      </c>
      <c r="EX25" s="134">
        <v>11.797133407</v>
      </c>
      <c r="EY25" s="134">
        <v>2.3061374495</v>
      </c>
      <c r="EZ25" s="134">
        <v>4.7868430724</v>
      </c>
      <c r="FA25" s="134">
        <v>0.58801911060000001</v>
      </c>
      <c r="FB25" s="7">
        <v>2553</v>
      </c>
      <c r="FC25" s="7">
        <v>6948</v>
      </c>
      <c r="FD25" s="7">
        <v>259</v>
      </c>
      <c r="FE25" s="7">
        <v>930</v>
      </c>
      <c r="FF25" s="7">
        <v>3</v>
      </c>
      <c r="FG25" s="7">
        <v>270</v>
      </c>
      <c r="FH25" s="7">
        <v>70</v>
      </c>
      <c r="FI25" s="134">
        <v>86.466372656999994</v>
      </c>
      <c r="FJ25" s="134">
        <v>4.9705990445000001</v>
      </c>
      <c r="FK25" s="134">
        <v>4.5663359058999999</v>
      </c>
      <c r="FL25" s="134">
        <v>3.9966923925</v>
      </c>
      <c r="FM25" s="151">
        <v>11507</v>
      </c>
      <c r="FN25" s="151">
        <v>5738</v>
      </c>
      <c r="FO25" s="7">
        <v>1803</v>
      </c>
      <c r="FP25" s="7">
        <v>87</v>
      </c>
      <c r="FQ25" s="7">
        <v>8</v>
      </c>
      <c r="FR25" s="7">
        <v>4</v>
      </c>
      <c r="FS25" s="7">
        <v>9116</v>
      </c>
      <c r="FT25" s="7">
        <v>272</v>
      </c>
      <c r="FU25" s="7">
        <v>231</v>
      </c>
      <c r="FV25" s="7">
        <v>575</v>
      </c>
      <c r="FW25" s="7">
        <v>12127</v>
      </c>
      <c r="FX25" s="7">
        <v>5595</v>
      </c>
      <c r="FY25" s="7">
        <v>1851</v>
      </c>
      <c r="FZ25" s="7">
        <v>61</v>
      </c>
      <c r="GA25" s="7">
        <v>16</v>
      </c>
      <c r="GB25" s="7">
        <v>6</v>
      </c>
      <c r="GC25" s="7">
        <v>9726</v>
      </c>
      <c r="GD25" s="7">
        <v>248</v>
      </c>
      <c r="GE25" s="7">
        <v>225</v>
      </c>
      <c r="GF25" s="7">
        <v>569</v>
      </c>
      <c r="GG25" s="7">
        <v>1740</v>
      </c>
      <c r="GH25" s="7">
        <v>1820</v>
      </c>
      <c r="GI25" s="7">
        <v>1766</v>
      </c>
      <c r="GJ25" s="7">
        <v>1357</v>
      </c>
      <c r="GK25" s="7">
        <v>951</v>
      </c>
      <c r="GL25" s="7">
        <v>782</v>
      </c>
      <c r="GM25" s="7">
        <v>668</v>
      </c>
      <c r="GN25" s="7">
        <v>608</v>
      </c>
      <c r="GO25" s="7">
        <v>435</v>
      </c>
      <c r="GP25" s="7">
        <v>421</v>
      </c>
      <c r="GQ25" s="7">
        <v>227</v>
      </c>
      <c r="GR25" s="7">
        <v>227</v>
      </c>
      <c r="GS25" s="7">
        <v>149</v>
      </c>
      <c r="GT25" s="7">
        <v>103</v>
      </c>
      <c r="GU25" s="7">
        <v>116</v>
      </c>
      <c r="GV25" s="7">
        <v>48</v>
      </c>
      <c r="GW25" s="7">
        <v>40</v>
      </c>
      <c r="GX25" s="7">
        <v>47</v>
      </c>
      <c r="GY25" s="7">
        <v>1688</v>
      </c>
      <c r="GZ25" s="7">
        <v>1767</v>
      </c>
      <c r="HA25" s="7">
        <v>1645</v>
      </c>
      <c r="HB25" s="7">
        <v>1411</v>
      </c>
      <c r="HC25" s="7">
        <v>1154</v>
      </c>
      <c r="HD25" s="7">
        <v>988</v>
      </c>
      <c r="HE25" s="7">
        <v>785</v>
      </c>
      <c r="HF25" s="7">
        <v>681</v>
      </c>
      <c r="HG25" s="7">
        <v>480</v>
      </c>
      <c r="HH25" s="7">
        <v>433</v>
      </c>
      <c r="HI25" s="7">
        <v>251</v>
      </c>
      <c r="HJ25" s="7">
        <v>233</v>
      </c>
      <c r="HK25" s="7">
        <v>193</v>
      </c>
      <c r="HL25" s="7">
        <v>155</v>
      </c>
      <c r="HM25" s="7">
        <v>109</v>
      </c>
      <c r="HN25" s="7">
        <v>55</v>
      </c>
      <c r="HO25" s="7">
        <v>44</v>
      </c>
      <c r="HP25" s="7">
        <v>51</v>
      </c>
      <c r="HQ25" s="7">
        <v>6787</v>
      </c>
      <c r="HR25" s="7">
        <v>5</v>
      </c>
      <c r="HS25" s="7">
        <v>7</v>
      </c>
      <c r="HT25" s="7">
        <v>0</v>
      </c>
      <c r="HU25" s="7">
        <v>1</v>
      </c>
      <c r="HV25" s="7">
        <v>0</v>
      </c>
      <c r="HW25" s="7">
        <v>0</v>
      </c>
      <c r="HX25" s="7">
        <v>222</v>
      </c>
      <c r="HY25" s="7">
        <v>294</v>
      </c>
      <c r="HZ25" s="7">
        <v>728</v>
      </c>
      <c r="IA25" s="7">
        <v>932</v>
      </c>
      <c r="IB25" s="7">
        <v>1032</v>
      </c>
      <c r="IC25" s="7">
        <v>973</v>
      </c>
      <c r="ID25" s="7">
        <v>1041</v>
      </c>
      <c r="IE25" s="7">
        <v>615</v>
      </c>
      <c r="IF25" s="7">
        <v>458</v>
      </c>
      <c r="IG25" s="7">
        <v>759</v>
      </c>
      <c r="IH25" s="7">
        <v>949</v>
      </c>
      <c r="II25" s="7">
        <v>4028</v>
      </c>
      <c r="IJ25" s="7">
        <v>1184</v>
      </c>
      <c r="IK25" s="7">
        <v>321</v>
      </c>
      <c r="IL25" s="7">
        <v>175</v>
      </c>
      <c r="IM25" s="7">
        <v>47</v>
      </c>
      <c r="IN25" s="7">
        <v>20</v>
      </c>
      <c r="IO25" s="7">
        <v>5</v>
      </c>
      <c r="IP25" s="7">
        <v>11</v>
      </c>
      <c r="IQ25" s="7">
        <v>5001</v>
      </c>
      <c r="IR25" s="7">
        <v>1217</v>
      </c>
      <c r="IS25" s="7">
        <v>292</v>
      </c>
      <c r="IT25" s="7">
        <v>162</v>
      </c>
      <c r="IU25" s="7">
        <v>72</v>
      </c>
      <c r="IV25" s="7">
        <v>921</v>
      </c>
      <c r="IW25" s="7">
        <v>3624</v>
      </c>
      <c r="IX25" s="7">
        <v>51</v>
      </c>
      <c r="IY25" s="7">
        <v>109</v>
      </c>
      <c r="IZ25" s="7">
        <v>2</v>
      </c>
      <c r="JA25" s="7">
        <v>2090</v>
      </c>
      <c r="JB25" s="7">
        <v>1047</v>
      </c>
      <c r="JC25" s="7">
        <v>1219</v>
      </c>
      <c r="JD25" s="7">
        <v>125</v>
      </c>
      <c r="JE25" s="7">
        <v>272</v>
      </c>
      <c r="JF25" s="151">
        <v>5840.2072671595752</v>
      </c>
      <c r="JG25" s="151">
        <v>968.17504389387148</v>
      </c>
      <c r="JH25" s="7">
        <v>2309</v>
      </c>
      <c r="JI25" s="7">
        <v>4426</v>
      </c>
      <c r="JJ25" s="7">
        <v>61</v>
      </c>
      <c r="JK25" s="7">
        <v>36</v>
      </c>
      <c r="JL25" s="7">
        <v>378</v>
      </c>
      <c r="JM25" s="7">
        <v>108</v>
      </c>
      <c r="JN25" s="7">
        <v>148</v>
      </c>
      <c r="JO25" s="7">
        <v>2947</v>
      </c>
      <c r="JP25" s="7">
        <v>2258</v>
      </c>
      <c r="JQ25" s="7">
        <v>34</v>
      </c>
      <c r="JR25" s="7">
        <v>123</v>
      </c>
      <c r="JS25" s="7">
        <v>164</v>
      </c>
      <c r="JT25" s="7">
        <v>17</v>
      </c>
      <c r="JU25" s="151">
        <v>246.17879542792124</v>
      </c>
      <c r="JV25" s="151">
        <v>1573.8133460833433</v>
      </c>
      <c r="JW25" s="151">
        <v>3968.2867859877338</v>
      </c>
      <c r="JX25" s="151">
        <v>51.928339660577137</v>
      </c>
      <c r="JY25" s="7">
        <v>6377</v>
      </c>
      <c r="JZ25" s="7">
        <v>35260</v>
      </c>
      <c r="KA25" s="7">
        <v>26</v>
      </c>
      <c r="KB25" s="7">
        <v>16</v>
      </c>
      <c r="KC25" s="7">
        <v>0</v>
      </c>
      <c r="KD25" s="7">
        <v>5</v>
      </c>
      <c r="KE25" s="7">
        <v>0</v>
      </c>
      <c r="KF25" s="7">
        <v>0</v>
      </c>
      <c r="KG25" s="7">
        <v>788</v>
      </c>
      <c r="KH25" s="7">
        <v>11092</v>
      </c>
      <c r="KI25" s="7">
        <v>23947</v>
      </c>
      <c r="KJ25" s="7">
        <v>305</v>
      </c>
      <c r="KK25" s="7">
        <v>179</v>
      </c>
      <c r="KL25" s="7">
        <v>1280</v>
      </c>
      <c r="KM25" s="7">
        <v>8183</v>
      </c>
      <c r="KN25" s="7">
        <v>20633</v>
      </c>
      <c r="KO25" s="7">
        <v>270</v>
      </c>
      <c r="KP25" s="7">
        <v>30366</v>
      </c>
      <c r="KQ25" s="7">
        <v>5034</v>
      </c>
      <c r="KR25" s="7">
        <v>5554</v>
      </c>
      <c r="KS25" s="7">
        <v>5554</v>
      </c>
      <c r="KT25" s="7">
        <v>1098</v>
      </c>
      <c r="KU25" s="7">
        <v>376</v>
      </c>
      <c r="KV25" s="7">
        <v>697</v>
      </c>
      <c r="KW25" s="7">
        <v>0</v>
      </c>
      <c r="KX25" s="7">
        <v>1063</v>
      </c>
      <c r="KY25" s="7">
        <v>303</v>
      </c>
      <c r="KZ25" s="7">
        <v>461</v>
      </c>
      <c r="LA25" s="7">
        <v>0</v>
      </c>
      <c r="LB25" s="7">
        <v>3076</v>
      </c>
      <c r="LC25" s="7">
        <v>2830</v>
      </c>
      <c r="LD25" s="7">
        <v>2139</v>
      </c>
      <c r="LE25" s="7">
        <v>4587</v>
      </c>
      <c r="LF25" s="7">
        <v>19759</v>
      </c>
      <c r="LG25" s="7">
        <v>39</v>
      </c>
      <c r="LH25" s="7">
        <v>5818</v>
      </c>
      <c r="LI25" s="7">
        <v>460</v>
      </c>
      <c r="LJ25" s="7">
        <v>1015</v>
      </c>
      <c r="LK25" s="7">
        <v>3</v>
      </c>
      <c r="LL25" s="7">
        <v>421</v>
      </c>
      <c r="LM25" s="7">
        <v>75</v>
      </c>
      <c r="LN25" s="7">
        <v>39</v>
      </c>
      <c r="LO25" s="7">
        <v>4990</v>
      </c>
      <c r="LP25" s="7">
        <v>292</v>
      </c>
      <c r="LQ25" s="7">
        <v>601</v>
      </c>
      <c r="LR25" s="7">
        <v>0</v>
      </c>
      <c r="LS25" s="7">
        <v>233</v>
      </c>
      <c r="LT25" s="7">
        <v>35</v>
      </c>
      <c r="LU25" s="232">
        <v>4.2370877726999998</v>
      </c>
      <c r="LV25" s="232">
        <v>5.0245005257999997</v>
      </c>
      <c r="LW25" s="232">
        <v>3.5029411764999998</v>
      </c>
      <c r="LX25" s="7">
        <v>6832</v>
      </c>
      <c r="LY25" s="7">
        <v>35523</v>
      </c>
    </row>
    <row r="26" spans="1:337" x14ac:dyDescent="0.25">
      <c r="A26" t="s">
        <v>90</v>
      </c>
      <c r="B26" t="s">
        <v>91</v>
      </c>
      <c r="C26" s="7">
        <v>60620</v>
      </c>
      <c r="D26">
        <v>87603</v>
      </c>
      <c r="F26">
        <f t="shared" si="0"/>
        <v>-87603</v>
      </c>
      <c r="G26">
        <f t="shared" si="1"/>
        <v>-100</v>
      </c>
      <c r="H26">
        <v>43301</v>
      </c>
      <c r="I26">
        <v>44302</v>
      </c>
      <c r="J26">
        <v>47958</v>
      </c>
      <c r="K26">
        <v>39645</v>
      </c>
      <c r="L26" s="7">
        <v>4742</v>
      </c>
      <c r="M26" s="7">
        <v>4652</v>
      </c>
      <c r="N26" s="7">
        <v>4339</v>
      </c>
      <c r="O26" s="7">
        <v>4479</v>
      </c>
      <c r="P26" s="7">
        <v>3969</v>
      </c>
      <c r="Q26" s="7">
        <v>3575</v>
      </c>
      <c r="R26" s="7">
        <v>3433</v>
      </c>
      <c r="S26" s="7">
        <v>2954</v>
      </c>
      <c r="T26" s="7">
        <v>2493</v>
      </c>
      <c r="U26" s="7">
        <v>2025</v>
      </c>
      <c r="V26" s="7">
        <v>1656</v>
      </c>
      <c r="W26" s="7">
        <v>1384</v>
      </c>
      <c r="X26" s="7">
        <v>1129</v>
      </c>
      <c r="Y26" s="7">
        <v>2332</v>
      </c>
      <c r="Z26" s="7">
        <v>139</v>
      </c>
      <c r="AA26" s="7">
        <v>4621</v>
      </c>
      <c r="AB26" s="7">
        <v>4534</v>
      </c>
      <c r="AC26" s="7">
        <v>4376</v>
      </c>
      <c r="AD26" s="7">
        <v>4372</v>
      </c>
      <c r="AE26" s="7">
        <v>4167</v>
      </c>
      <c r="AF26" s="7">
        <v>4042</v>
      </c>
      <c r="AG26" s="7">
        <v>3785</v>
      </c>
      <c r="AH26" s="7">
        <v>3348</v>
      </c>
      <c r="AI26" s="7">
        <v>2431</v>
      </c>
      <c r="AJ26" s="7">
        <v>2065</v>
      </c>
      <c r="AK26" s="7">
        <v>1714</v>
      </c>
      <c r="AL26" s="7">
        <v>1335</v>
      </c>
      <c r="AM26" s="7">
        <v>1074</v>
      </c>
      <c r="AN26" s="7">
        <v>2298</v>
      </c>
      <c r="AO26" s="7">
        <v>140</v>
      </c>
      <c r="AP26">
        <v>85254</v>
      </c>
      <c r="AQ26">
        <v>1848</v>
      </c>
      <c r="AR26">
        <v>46</v>
      </c>
      <c r="AS26">
        <v>71</v>
      </c>
      <c r="AT26">
        <v>384</v>
      </c>
      <c r="AU26" s="7">
        <v>3391</v>
      </c>
      <c r="AV26" s="7">
        <v>1689</v>
      </c>
      <c r="AW26" s="7">
        <v>1702</v>
      </c>
      <c r="AX26" s="7">
        <v>2656</v>
      </c>
      <c r="AY26" s="7">
        <v>3391</v>
      </c>
      <c r="AZ26" s="7">
        <v>2072</v>
      </c>
      <c r="BA26" s="7">
        <v>1319</v>
      </c>
      <c r="BB26" s="7">
        <v>60</v>
      </c>
      <c r="BC26" s="7">
        <v>64</v>
      </c>
      <c r="BD26" s="7">
        <v>149</v>
      </c>
      <c r="BE26" s="7">
        <v>167</v>
      </c>
      <c r="BF26" s="7">
        <v>148</v>
      </c>
      <c r="BG26" s="7">
        <v>155</v>
      </c>
      <c r="BH26" s="7">
        <v>173</v>
      </c>
      <c r="BI26" s="7">
        <v>205</v>
      </c>
      <c r="BJ26" s="7">
        <v>183</v>
      </c>
      <c r="BK26" s="7">
        <v>186</v>
      </c>
      <c r="BL26" s="7">
        <v>152</v>
      </c>
      <c r="BM26" s="7">
        <v>170</v>
      </c>
      <c r="BN26" s="7">
        <v>149</v>
      </c>
      <c r="BO26" s="7">
        <v>137</v>
      </c>
      <c r="BP26" s="7">
        <v>123</v>
      </c>
      <c r="BQ26" s="7">
        <v>140</v>
      </c>
      <c r="BR26" s="7">
        <v>152</v>
      </c>
      <c r="BS26" s="7">
        <v>131</v>
      </c>
      <c r="BT26" s="7">
        <v>90</v>
      </c>
      <c r="BU26" s="7">
        <v>84</v>
      </c>
      <c r="BV26" s="7">
        <v>64</v>
      </c>
      <c r="BW26" s="7">
        <v>79</v>
      </c>
      <c r="BX26" s="7">
        <v>50</v>
      </c>
      <c r="BY26" s="7">
        <v>50</v>
      </c>
      <c r="BZ26" s="7">
        <v>60</v>
      </c>
      <c r="CA26" s="7">
        <v>48</v>
      </c>
      <c r="CB26" s="7">
        <v>136</v>
      </c>
      <c r="CC26" s="7">
        <v>86</v>
      </c>
      <c r="CD26" s="7">
        <v>1551</v>
      </c>
      <c r="CE26" s="7">
        <v>1416</v>
      </c>
      <c r="CF26" s="7">
        <v>81</v>
      </c>
      <c r="CG26" s="7">
        <v>232</v>
      </c>
      <c r="CH26" s="7">
        <v>17413</v>
      </c>
      <c r="CI26" s="7">
        <v>3892</v>
      </c>
      <c r="CJ26" s="7">
        <v>73855</v>
      </c>
      <c r="CK26" s="7">
        <v>13453</v>
      </c>
      <c r="CL26" s="7">
        <v>1423</v>
      </c>
      <c r="CM26" s="7">
        <v>2935</v>
      </c>
      <c r="CN26" s="7">
        <v>4179</v>
      </c>
      <c r="CO26" s="7">
        <v>5086</v>
      </c>
      <c r="CP26" s="7">
        <v>3691</v>
      </c>
      <c r="CQ26" s="7">
        <v>3991</v>
      </c>
      <c r="CR26" s="7">
        <v>16275</v>
      </c>
      <c r="CS26" s="7">
        <v>38179</v>
      </c>
      <c r="CT26" s="7">
        <v>5240</v>
      </c>
      <c r="CU26" s="7">
        <v>2068</v>
      </c>
      <c r="CV26" s="7">
        <v>943</v>
      </c>
      <c r="CW26" s="7">
        <v>2810</v>
      </c>
      <c r="CX26" s="7">
        <v>311</v>
      </c>
      <c r="CY26" s="7">
        <v>55707</v>
      </c>
      <c r="CZ26" s="7">
        <v>28197</v>
      </c>
      <c r="DA26" s="7">
        <v>1044</v>
      </c>
      <c r="DB26" s="7">
        <v>1423</v>
      </c>
      <c r="DC26" s="7">
        <v>94</v>
      </c>
      <c r="DD26" s="7">
        <v>5560</v>
      </c>
      <c r="DE26" s="7">
        <v>5427</v>
      </c>
      <c r="DF26" s="7">
        <v>28658</v>
      </c>
      <c r="DG26" s="7">
        <v>2881</v>
      </c>
      <c r="DH26" s="7">
        <v>0</v>
      </c>
      <c r="DI26" s="7">
        <v>45077</v>
      </c>
      <c r="DJ26" s="7">
        <v>0</v>
      </c>
      <c r="DK26" s="7">
        <v>0</v>
      </c>
      <c r="DL26" s="7">
        <v>240</v>
      </c>
      <c r="DM26" s="7">
        <v>15</v>
      </c>
      <c r="DN26" s="7">
        <v>27</v>
      </c>
      <c r="DO26" s="7">
        <v>1</v>
      </c>
      <c r="DP26" s="7">
        <v>0</v>
      </c>
      <c r="DQ26" s="7">
        <v>1</v>
      </c>
      <c r="DR26" s="7">
        <v>0</v>
      </c>
      <c r="DS26" s="7">
        <v>0</v>
      </c>
      <c r="DT26" s="7">
        <v>639</v>
      </c>
      <c r="DU26" s="7">
        <v>652</v>
      </c>
      <c r="DV26" s="7">
        <v>308</v>
      </c>
      <c r="DW26" s="7">
        <v>286</v>
      </c>
      <c r="DX26" s="7">
        <v>147</v>
      </c>
      <c r="DY26" s="7">
        <v>94</v>
      </c>
      <c r="DZ26" s="7">
        <v>144</v>
      </c>
      <c r="EA26" s="7">
        <v>96</v>
      </c>
      <c r="EB26" s="7">
        <v>34</v>
      </c>
      <c r="EC26" s="7">
        <v>35</v>
      </c>
      <c r="ED26" s="7">
        <v>30</v>
      </c>
      <c r="EE26" s="7">
        <v>26</v>
      </c>
      <c r="EF26" s="7">
        <v>110</v>
      </c>
      <c r="EG26" s="7">
        <v>86</v>
      </c>
      <c r="EH26" s="7">
        <v>821</v>
      </c>
      <c r="EI26" s="7">
        <v>369</v>
      </c>
      <c r="EJ26" s="7">
        <v>137</v>
      </c>
      <c r="EK26" s="7">
        <v>128</v>
      </c>
      <c r="EL26" s="7">
        <v>37</v>
      </c>
      <c r="EM26" s="7">
        <v>32</v>
      </c>
      <c r="EN26" s="7">
        <v>92</v>
      </c>
      <c r="EO26" s="7">
        <v>25021</v>
      </c>
      <c r="EP26" s="7">
        <v>24233</v>
      </c>
      <c r="EQ26" s="7">
        <v>788</v>
      </c>
      <c r="ER26" s="7">
        <v>6864</v>
      </c>
      <c r="ES26" s="7">
        <v>8789</v>
      </c>
      <c r="ET26" s="7">
        <v>8630</v>
      </c>
      <c r="EU26" s="7">
        <v>159</v>
      </c>
      <c r="EV26" s="7">
        <v>24337</v>
      </c>
      <c r="EW26" s="134">
        <v>21.054395548999999</v>
      </c>
      <c r="EX26" s="134">
        <v>21.681134161999999</v>
      </c>
      <c r="EY26" s="134">
        <v>16.727553038</v>
      </c>
      <c r="EZ26" s="134">
        <v>39.075644334000003</v>
      </c>
      <c r="FA26" s="134">
        <v>1.4612729162</v>
      </c>
      <c r="FB26" s="7">
        <v>3592</v>
      </c>
      <c r="FC26" s="7">
        <v>11311</v>
      </c>
      <c r="FD26" s="7">
        <v>1084</v>
      </c>
      <c r="FE26" s="7">
        <v>7028</v>
      </c>
      <c r="FF26" s="7">
        <v>62</v>
      </c>
      <c r="FG26" s="7">
        <v>5511</v>
      </c>
      <c r="FH26" s="7">
        <v>5083</v>
      </c>
      <c r="FI26" s="134">
        <v>28.665750578000001</v>
      </c>
      <c r="FJ26" s="134">
        <v>31.9737239</v>
      </c>
      <c r="FK26" s="134">
        <v>35.415758957000001</v>
      </c>
      <c r="FL26" s="134">
        <v>3.9447665650000001</v>
      </c>
      <c r="FM26" s="151">
        <v>23789</v>
      </c>
      <c r="FN26" s="151">
        <v>19334</v>
      </c>
      <c r="FO26" s="7">
        <v>6784</v>
      </c>
      <c r="FP26" s="7">
        <v>2070</v>
      </c>
      <c r="FQ26" s="7">
        <v>523</v>
      </c>
      <c r="FR26" s="7">
        <v>210</v>
      </c>
      <c r="FS26" s="7">
        <v>13395</v>
      </c>
      <c r="FT26" s="7">
        <v>206</v>
      </c>
      <c r="FU26" s="7">
        <v>675</v>
      </c>
      <c r="FV26" s="7">
        <v>178</v>
      </c>
      <c r="FW26" s="7">
        <v>25487</v>
      </c>
      <c r="FX26" s="7">
        <v>18629</v>
      </c>
      <c r="FY26" s="7">
        <v>6700</v>
      </c>
      <c r="FZ26" s="7">
        <v>2336</v>
      </c>
      <c r="GA26" s="7">
        <v>604</v>
      </c>
      <c r="GB26" s="7">
        <v>209</v>
      </c>
      <c r="GC26" s="7">
        <v>14816</v>
      </c>
      <c r="GD26" s="7">
        <v>198</v>
      </c>
      <c r="GE26" s="7">
        <v>706</v>
      </c>
      <c r="GF26" s="7">
        <v>186</v>
      </c>
      <c r="GG26" s="7">
        <v>2609</v>
      </c>
      <c r="GH26" s="7">
        <v>2735</v>
      </c>
      <c r="GI26" s="7">
        <v>2559</v>
      </c>
      <c r="GJ26" s="7">
        <v>2380</v>
      </c>
      <c r="GK26" s="7">
        <v>1811</v>
      </c>
      <c r="GL26" s="7">
        <v>1879</v>
      </c>
      <c r="GM26" s="7">
        <v>1920</v>
      </c>
      <c r="GN26" s="7">
        <v>1645</v>
      </c>
      <c r="GO26" s="7">
        <v>1343</v>
      </c>
      <c r="GP26" s="7">
        <v>1094</v>
      </c>
      <c r="GQ26" s="7">
        <v>881</v>
      </c>
      <c r="GR26" s="7">
        <v>749</v>
      </c>
      <c r="GS26" s="7">
        <v>617</v>
      </c>
      <c r="GT26" s="7">
        <v>547</v>
      </c>
      <c r="GU26" s="7">
        <v>456</v>
      </c>
      <c r="GV26" s="7">
        <v>273</v>
      </c>
      <c r="GW26" s="7">
        <v>152</v>
      </c>
      <c r="GX26" s="7">
        <v>138</v>
      </c>
      <c r="GY26" s="7">
        <v>2452</v>
      </c>
      <c r="GZ26" s="7">
        <v>2615</v>
      </c>
      <c r="HA26" s="7">
        <v>2514</v>
      </c>
      <c r="HB26" s="7">
        <v>2307</v>
      </c>
      <c r="HC26" s="7">
        <v>2188</v>
      </c>
      <c r="HD26" s="7">
        <v>2326</v>
      </c>
      <c r="HE26" s="7">
        <v>2279</v>
      </c>
      <c r="HF26" s="7">
        <v>2017</v>
      </c>
      <c r="HG26" s="7">
        <v>1425</v>
      </c>
      <c r="HH26" s="7">
        <v>1280</v>
      </c>
      <c r="HI26" s="7">
        <v>1017</v>
      </c>
      <c r="HJ26" s="7">
        <v>810</v>
      </c>
      <c r="HK26" s="7">
        <v>681</v>
      </c>
      <c r="HL26" s="7">
        <v>584</v>
      </c>
      <c r="HM26" s="7">
        <v>446</v>
      </c>
      <c r="HN26" s="7">
        <v>246</v>
      </c>
      <c r="HO26" s="7">
        <v>170</v>
      </c>
      <c r="HP26" s="7">
        <v>127</v>
      </c>
      <c r="HQ26" s="7">
        <v>21045</v>
      </c>
      <c r="HR26" s="7">
        <v>104</v>
      </c>
      <c r="HS26" s="7">
        <v>96</v>
      </c>
      <c r="HT26" s="7">
        <v>7</v>
      </c>
      <c r="HU26" s="7">
        <v>0</v>
      </c>
      <c r="HV26" s="7">
        <v>0</v>
      </c>
      <c r="HW26" s="7">
        <v>1</v>
      </c>
      <c r="HX26" s="7">
        <v>142</v>
      </c>
      <c r="HY26" s="7">
        <v>1423</v>
      </c>
      <c r="HZ26" s="7">
        <v>2935</v>
      </c>
      <c r="IA26" s="7">
        <v>4179</v>
      </c>
      <c r="IB26" s="7">
        <v>5086</v>
      </c>
      <c r="IC26" s="7">
        <v>3690</v>
      </c>
      <c r="ID26" s="7">
        <v>1949</v>
      </c>
      <c r="IE26" s="7">
        <v>886</v>
      </c>
      <c r="IF26" s="7">
        <v>531</v>
      </c>
      <c r="IG26" s="7">
        <v>625</v>
      </c>
      <c r="IH26" s="7">
        <v>4351</v>
      </c>
      <c r="II26" s="7">
        <v>5661</v>
      </c>
      <c r="IJ26" s="7">
        <v>5727</v>
      </c>
      <c r="IK26" s="7">
        <v>3299</v>
      </c>
      <c r="IL26" s="7">
        <v>1409</v>
      </c>
      <c r="IM26" s="7">
        <v>467</v>
      </c>
      <c r="IN26" s="7">
        <v>153</v>
      </c>
      <c r="IO26" s="7">
        <v>81</v>
      </c>
      <c r="IP26" s="7">
        <v>55</v>
      </c>
      <c r="IQ26" s="7">
        <v>11220</v>
      </c>
      <c r="IR26" s="7">
        <v>7225</v>
      </c>
      <c r="IS26" s="7">
        <v>2145</v>
      </c>
      <c r="IT26" s="7">
        <v>483</v>
      </c>
      <c r="IU26" s="7">
        <v>152</v>
      </c>
      <c r="IV26" s="7">
        <v>9110</v>
      </c>
      <c r="IW26" s="7">
        <v>8575</v>
      </c>
      <c r="IX26" s="7">
        <v>234</v>
      </c>
      <c r="IY26" s="7">
        <v>299</v>
      </c>
      <c r="IZ26" s="7">
        <v>1478</v>
      </c>
      <c r="JA26" s="7">
        <v>1554</v>
      </c>
      <c r="JB26" s="7">
        <v>8035</v>
      </c>
      <c r="JC26" s="7">
        <v>12107</v>
      </c>
      <c r="JD26" s="7">
        <v>104</v>
      </c>
      <c r="JE26" s="7">
        <v>37</v>
      </c>
      <c r="JF26" s="151">
        <v>20403.586623247167</v>
      </c>
      <c r="JG26" s="151">
        <v>863.3469212458258</v>
      </c>
      <c r="JH26" s="7">
        <v>2662</v>
      </c>
      <c r="JI26" s="7">
        <v>15961</v>
      </c>
      <c r="JJ26" s="7">
        <v>2620</v>
      </c>
      <c r="JK26" s="7">
        <v>61</v>
      </c>
      <c r="JL26" s="7">
        <v>15703</v>
      </c>
      <c r="JM26" s="7">
        <v>9815</v>
      </c>
      <c r="JN26" s="7">
        <v>4470</v>
      </c>
      <c r="JO26" s="7">
        <v>14662</v>
      </c>
      <c r="JP26" s="7">
        <v>18973</v>
      </c>
      <c r="JQ26" s="7">
        <v>2932</v>
      </c>
      <c r="JR26" s="7">
        <v>3931</v>
      </c>
      <c r="JS26" s="7">
        <v>13618</v>
      </c>
      <c r="JT26" s="7">
        <v>1457</v>
      </c>
      <c r="JU26" s="151">
        <v>5842.5990207430204</v>
      </c>
      <c r="JV26" s="151">
        <v>14300.128965191601</v>
      </c>
      <c r="JW26" s="151">
        <v>231.57609617362596</v>
      </c>
      <c r="JX26" s="151">
        <v>29.282541138920038</v>
      </c>
      <c r="JY26" s="7">
        <v>20964</v>
      </c>
      <c r="JZ26" s="7">
        <v>86399</v>
      </c>
      <c r="KA26" s="7">
        <v>315</v>
      </c>
      <c r="KB26" s="7">
        <v>339</v>
      </c>
      <c r="KC26" s="7">
        <v>39</v>
      </c>
      <c r="KD26" s="7">
        <v>0</v>
      </c>
      <c r="KE26" s="7">
        <v>0</v>
      </c>
      <c r="KF26" s="7">
        <v>5</v>
      </c>
      <c r="KG26" s="7">
        <v>481</v>
      </c>
      <c r="KH26" s="7">
        <v>11094</v>
      </c>
      <c r="KI26" s="7">
        <v>65983</v>
      </c>
      <c r="KJ26" s="7">
        <v>10007</v>
      </c>
      <c r="KK26" s="7">
        <v>219</v>
      </c>
      <c r="KL26" s="7">
        <v>23943</v>
      </c>
      <c r="KM26" s="7">
        <v>58602</v>
      </c>
      <c r="KN26" s="7">
        <v>949</v>
      </c>
      <c r="KO26" s="7">
        <v>120</v>
      </c>
      <c r="KP26" s="7">
        <v>83614</v>
      </c>
      <c r="KQ26" s="7">
        <v>3538</v>
      </c>
      <c r="KR26" s="7">
        <v>12533</v>
      </c>
      <c r="KS26" s="7">
        <v>12533</v>
      </c>
      <c r="KT26" s="7">
        <v>2625</v>
      </c>
      <c r="KU26" s="7">
        <v>739</v>
      </c>
      <c r="KV26" s="7">
        <v>2080</v>
      </c>
      <c r="KW26" s="7">
        <v>5</v>
      </c>
      <c r="KX26" s="7">
        <v>2501</v>
      </c>
      <c r="KY26" s="7">
        <v>762</v>
      </c>
      <c r="KZ26" s="7">
        <v>2004</v>
      </c>
      <c r="LA26" s="7">
        <v>7</v>
      </c>
      <c r="LB26" s="7">
        <v>6283</v>
      </c>
      <c r="LC26" s="7">
        <v>6383</v>
      </c>
      <c r="LD26" s="7">
        <v>3491</v>
      </c>
      <c r="LE26" s="7">
        <v>5053</v>
      </c>
      <c r="LF26" s="7">
        <v>60060</v>
      </c>
      <c r="LG26" s="7">
        <v>93</v>
      </c>
      <c r="LH26" s="7">
        <v>9377</v>
      </c>
      <c r="LI26" s="7">
        <v>1472</v>
      </c>
      <c r="LJ26" s="7">
        <v>5996</v>
      </c>
      <c r="LK26" s="7">
        <v>37</v>
      </c>
      <c r="LL26" s="7">
        <v>5324</v>
      </c>
      <c r="LM26" s="7">
        <v>3795</v>
      </c>
      <c r="LN26" s="7">
        <v>108</v>
      </c>
      <c r="LO26" s="7">
        <v>11217</v>
      </c>
      <c r="LP26" s="7">
        <v>1402</v>
      </c>
      <c r="LQ26" s="7">
        <v>5791</v>
      </c>
      <c r="LR26" s="7">
        <v>90</v>
      </c>
      <c r="LS26" s="7">
        <v>4377</v>
      </c>
      <c r="LT26" s="7">
        <v>3114</v>
      </c>
      <c r="LU26" s="232">
        <v>7.3862243359999997</v>
      </c>
      <c r="LV26" s="232">
        <v>7.8025915416</v>
      </c>
      <c r="LW26" s="232">
        <v>6.9864762843000001</v>
      </c>
      <c r="LX26" s="7">
        <v>21304</v>
      </c>
      <c r="LY26" s="7">
        <v>87303</v>
      </c>
    </row>
    <row r="27" spans="1:337" x14ac:dyDescent="0.25">
      <c r="A27" t="s">
        <v>92</v>
      </c>
      <c r="B27" t="s">
        <v>93</v>
      </c>
      <c r="C27" s="7">
        <v>5242</v>
      </c>
      <c r="D27">
        <v>5405</v>
      </c>
      <c r="F27">
        <f t="shared" si="0"/>
        <v>-5405</v>
      </c>
      <c r="G27">
        <f t="shared" si="1"/>
        <v>-100</v>
      </c>
      <c r="H27">
        <v>2781</v>
      </c>
      <c r="I27">
        <v>2624</v>
      </c>
      <c r="J27">
        <v>3809</v>
      </c>
      <c r="K27">
        <v>1596</v>
      </c>
      <c r="L27" s="7">
        <v>282</v>
      </c>
      <c r="M27" s="7">
        <v>284</v>
      </c>
      <c r="N27" s="7">
        <v>262</v>
      </c>
      <c r="O27" s="7">
        <v>275</v>
      </c>
      <c r="P27" s="7">
        <v>240</v>
      </c>
      <c r="Q27" s="7">
        <v>203</v>
      </c>
      <c r="R27" s="7">
        <v>217</v>
      </c>
      <c r="S27" s="7">
        <v>200</v>
      </c>
      <c r="T27" s="7">
        <v>151</v>
      </c>
      <c r="U27" s="7">
        <v>162</v>
      </c>
      <c r="V27" s="7">
        <v>127</v>
      </c>
      <c r="W27" s="7">
        <v>99</v>
      </c>
      <c r="X27" s="7">
        <v>71</v>
      </c>
      <c r="Y27" s="7">
        <v>208</v>
      </c>
      <c r="Z27" s="7">
        <v>0</v>
      </c>
      <c r="AA27" s="7">
        <v>262</v>
      </c>
      <c r="AB27" s="7">
        <v>231</v>
      </c>
      <c r="AC27" s="7">
        <v>277</v>
      </c>
      <c r="AD27" s="7">
        <v>271</v>
      </c>
      <c r="AE27" s="7">
        <v>230</v>
      </c>
      <c r="AF27" s="7">
        <v>233</v>
      </c>
      <c r="AG27" s="7">
        <v>223</v>
      </c>
      <c r="AH27" s="7">
        <v>183</v>
      </c>
      <c r="AI27" s="7">
        <v>154</v>
      </c>
      <c r="AJ27" s="7">
        <v>140</v>
      </c>
      <c r="AK27" s="7">
        <v>92</v>
      </c>
      <c r="AL27" s="7">
        <v>93</v>
      </c>
      <c r="AM27" s="7">
        <v>67</v>
      </c>
      <c r="AN27" s="7">
        <v>168</v>
      </c>
      <c r="AO27" s="7">
        <v>0</v>
      </c>
      <c r="AP27">
        <v>5346</v>
      </c>
      <c r="AQ27">
        <v>46</v>
      </c>
      <c r="AR27">
        <v>2</v>
      </c>
      <c r="AS27" t="s">
        <v>358</v>
      </c>
      <c r="AT27">
        <v>11</v>
      </c>
      <c r="AU27" s="7">
        <v>200</v>
      </c>
      <c r="AV27" s="7">
        <v>114</v>
      </c>
      <c r="AW27" s="7">
        <v>86</v>
      </c>
      <c r="AX27" s="7">
        <v>230</v>
      </c>
      <c r="AY27" s="7">
        <v>200</v>
      </c>
      <c r="AZ27" s="7">
        <v>17</v>
      </c>
      <c r="BA27" s="7">
        <v>183</v>
      </c>
      <c r="BB27" s="7">
        <v>0</v>
      </c>
      <c r="BC27" s="7">
        <v>1</v>
      </c>
      <c r="BD27" s="7">
        <v>2</v>
      </c>
      <c r="BE27" s="7">
        <v>0</v>
      </c>
      <c r="BF27" s="7">
        <v>4</v>
      </c>
      <c r="BG27" s="7">
        <v>1</v>
      </c>
      <c r="BH27" s="7">
        <v>12</v>
      </c>
      <c r="BI27" s="7">
        <v>12</v>
      </c>
      <c r="BJ27" s="7">
        <v>15</v>
      </c>
      <c r="BK27" s="7">
        <v>8</v>
      </c>
      <c r="BL27" s="7">
        <v>10</v>
      </c>
      <c r="BM27" s="7">
        <v>9</v>
      </c>
      <c r="BN27" s="7">
        <v>8</v>
      </c>
      <c r="BO27" s="7">
        <v>9</v>
      </c>
      <c r="BP27" s="7">
        <v>10</v>
      </c>
      <c r="BQ27" s="7">
        <v>10</v>
      </c>
      <c r="BR27" s="7">
        <v>9</v>
      </c>
      <c r="BS27" s="7">
        <v>10</v>
      </c>
      <c r="BT27" s="7">
        <v>11</v>
      </c>
      <c r="BU27" s="7">
        <v>10</v>
      </c>
      <c r="BV27" s="7">
        <v>12</v>
      </c>
      <c r="BW27" s="7">
        <v>1</v>
      </c>
      <c r="BX27" s="7">
        <v>6</v>
      </c>
      <c r="BY27" s="7">
        <v>4</v>
      </c>
      <c r="BZ27" s="7">
        <v>3</v>
      </c>
      <c r="CA27" s="7">
        <v>0</v>
      </c>
      <c r="CB27" s="7">
        <v>12</v>
      </c>
      <c r="CC27" s="7">
        <v>11</v>
      </c>
      <c r="CD27" s="7">
        <v>106</v>
      </c>
      <c r="CE27" s="7">
        <v>80</v>
      </c>
      <c r="CF27" s="7">
        <v>0</v>
      </c>
      <c r="CG27" s="7">
        <v>0</v>
      </c>
      <c r="CH27" s="7">
        <v>1185</v>
      </c>
      <c r="CI27" s="7">
        <v>162</v>
      </c>
      <c r="CJ27" s="7">
        <v>4849</v>
      </c>
      <c r="CK27" s="7">
        <v>556</v>
      </c>
      <c r="CL27" s="7">
        <v>85</v>
      </c>
      <c r="CM27" s="7">
        <v>207</v>
      </c>
      <c r="CN27" s="7">
        <v>260</v>
      </c>
      <c r="CO27" s="7">
        <v>318</v>
      </c>
      <c r="CP27" s="7">
        <v>260</v>
      </c>
      <c r="CQ27" s="7">
        <v>217</v>
      </c>
      <c r="CR27" s="7">
        <v>1075</v>
      </c>
      <c r="CS27" s="7">
        <v>2262</v>
      </c>
      <c r="CT27" s="7">
        <v>383</v>
      </c>
      <c r="CU27" s="7">
        <v>149</v>
      </c>
      <c r="CV27" s="7">
        <v>48</v>
      </c>
      <c r="CW27" s="7">
        <v>88</v>
      </c>
      <c r="CX27" s="7">
        <v>6</v>
      </c>
      <c r="CY27" s="7">
        <v>3409</v>
      </c>
      <c r="CZ27" s="7">
        <v>1666</v>
      </c>
      <c r="DA27" s="7">
        <v>11</v>
      </c>
      <c r="DB27" s="7">
        <v>85</v>
      </c>
      <c r="DC27" s="7">
        <v>5</v>
      </c>
      <c r="DD27" s="7">
        <v>11</v>
      </c>
      <c r="DE27" s="7">
        <v>708</v>
      </c>
      <c r="DF27" s="7">
        <v>877</v>
      </c>
      <c r="DG27" s="7">
        <v>3809</v>
      </c>
      <c r="DH27" s="7">
        <v>0</v>
      </c>
      <c r="DI27" s="7">
        <v>0</v>
      </c>
      <c r="DJ27" s="7">
        <v>0</v>
      </c>
      <c r="DK27" s="7">
        <v>0</v>
      </c>
      <c r="DL27" s="7">
        <v>3</v>
      </c>
      <c r="DM27" s="7">
        <v>2</v>
      </c>
      <c r="DN27" s="7">
        <v>1</v>
      </c>
      <c r="DO27" s="7">
        <v>1</v>
      </c>
      <c r="DP27" s="7">
        <v>0</v>
      </c>
      <c r="DQ27" s="7">
        <v>0</v>
      </c>
      <c r="DR27" s="7">
        <v>0</v>
      </c>
      <c r="DS27" s="7">
        <v>0</v>
      </c>
      <c r="DT27" s="7">
        <v>127</v>
      </c>
      <c r="DU27" s="7">
        <v>106</v>
      </c>
      <c r="DV27" s="7">
        <v>32</v>
      </c>
      <c r="DW27" s="7">
        <v>38</v>
      </c>
      <c r="DX27" s="7">
        <v>14</v>
      </c>
      <c r="DY27" s="7">
        <v>6</v>
      </c>
      <c r="DZ27" s="7">
        <v>12</v>
      </c>
      <c r="EA27" s="7">
        <v>10</v>
      </c>
      <c r="EB27" s="7">
        <v>7</v>
      </c>
      <c r="EC27" s="7">
        <v>4</v>
      </c>
      <c r="ED27" s="7">
        <v>7</v>
      </c>
      <c r="EE27" s="7">
        <v>1</v>
      </c>
      <c r="EF27" s="7">
        <v>19</v>
      </c>
      <c r="EG27" s="7">
        <v>20</v>
      </c>
      <c r="EH27" s="7">
        <v>178</v>
      </c>
      <c r="EI27" s="7">
        <v>62</v>
      </c>
      <c r="EJ27" s="7">
        <v>17</v>
      </c>
      <c r="EK27" s="7">
        <v>15</v>
      </c>
      <c r="EL27" s="7">
        <v>10</v>
      </c>
      <c r="EM27" s="7">
        <v>5</v>
      </c>
      <c r="EN27" s="7">
        <v>26</v>
      </c>
      <c r="EO27" s="7">
        <v>1696</v>
      </c>
      <c r="EP27" s="7">
        <v>1679</v>
      </c>
      <c r="EQ27" s="7">
        <v>17</v>
      </c>
      <c r="ER27" s="7">
        <v>397</v>
      </c>
      <c r="ES27" s="7">
        <v>338</v>
      </c>
      <c r="ET27" s="7">
        <v>337</v>
      </c>
      <c r="EU27" s="7">
        <v>1</v>
      </c>
      <c r="EV27" s="7">
        <v>1674</v>
      </c>
      <c r="EW27" s="134">
        <v>63.321385902000003</v>
      </c>
      <c r="EX27" s="134">
        <v>12.246117085</v>
      </c>
      <c r="EY27" s="134">
        <v>10.274790919999999</v>
      </c>
      <c r="EZ27" s="134">
        <v>13.679808841</v>
      </c>
      <c r="FA27" s="134">
        <v>0.4778972521</v>
      </c>
      <c r="FB27" s="7">
        <v>524</v>
      </c>
      <c r="FC27" s="7">
        <v>878</v>
      </c>
      <c r="FD27" s="7">
        <v>85</v>
      </c>
      <c r="FE27" s="7">
        <v>363</v>
      </c>
      <c r="FF27" s="7">
        <v>0</v>
      </c>
      <c r="FG27" s="7">
        <v>113</v>
      </c>
      <c r="FH27" s="7">
        <v>70</v>
      </c>
      <c r="FI27" s="134">
        <v>48.566308243999998</v>
      </c>
      <c r="FJ27" s="134">
        <v>30.704898447000001</v>
      </c>
      <c r="FK27" s="134">
        <v>13.918757467000001</v>
      </c>
      <c r="FL27" s="134">
        <v>6.8100358422999996</v>
      </c>
      <c r="FM27" s="151">
        <v>1934</v>
      </c>
      <c r="FN27" s="151">
        <v>841</v>
      </c>
      <c r="FO27" s="7">
        <v>102</v>
      </c>
      <c r="FP27" s="7">
        <v>21</v>
      </c>
      <c r="FQ27" s="7">
        <v>0</v>
      </c>
      <c r="FR27" s="7">
        <v>1</v>
      </c>
      <c r="FS27" s="7">
        <v>1807</v>
      </c>
      <c r="FT27" s="7">
        <v>14</v>
      </c>
      <c r="FU27" s="7">
        <v>3</v>
      </c>
      <c r="FV27" s="7">
        <v>6</v>
      </c>
      <c r="FW27" s="7">
        <v>1973</v>
      </c>
      <c r="FX27" s="7">
        <v>648</v>
      </c>
      <c r="FY27" s="7">
        <v>75</v>
      </c>
      <c r="FZ27" s="7">
        <v>23</v>
      </c>
      <c r="GA27" s="7">
        <v>1</v>
      </c>
      <c r="GB27" s="7">
        <v>2</v>
      </c>
      <c r="GC27" s="7">
        <v>1871</v>
      </c>
      <c r="GD27" s="7">
        <v>11</v>
      </c>
      <c r="GE27" s="7">
        <v>3</v>
      </c>
      <c r="GF27" s="7">
        <v>3</v>
      </c>
      <c r="GG27" s="7">
        <v>210</v>
      </c>
      <c r="GH27" s="7">
        <v>204</v>
      </c>
      <c r="GI27" s="7">
        <v>196</v>
      </c>
      <c r="GJ27" s="7">
        <v>196</v>
      </c>
      <c r="GK27" s="7">
        <v>131</v>
      </c>
      <c r="GL27" s="7">
        <v>141</v>
      </c>
      <c r="GM27" s="7">
        <v>154</v>
      </c>
      <c r="GN27" s="7">
        <v>145</v>
      </c>
      <c r="GO27" s="7">
        <v>117</v>
      </c>
      <c r="GP27" s="7">
        <v>110</v>
      </c>
      <c r="GQ27" s="7">
        <v>86</v>
      </c>
      <c r="GR27" s="7">
        <v>61</v>
      </c>
      <c r="GS27" s="7">
        <v>42</v>
      </c>
      <c r="GT27" s="7">
        <v>44</v>
      </c>
      <c r="GU27" s="7">
        <v>40</v>
      </c>
      <c r="GV27" s="7">
        <v>23</v>
      </c>
      <c r="GW27" s="7">
        <v>16</v>
      </c>
      <c r="GX27" s="7">
        <v>18</v>
      </c>
      <c r="GY27" s="7">
        <v>188</v>
      </c>
      <c r="GZ27" s="7">
        <v>182</v>
      </c>
      <c r="HA27" s="7">
        <v>214</v>
      </c>
      <c r="HB27" s="7">
        <v>197</v>
      </c>
      <c r="HC27" s="7">
        <v>147</v>
      </c>
      <c r="HD27" s="7">
        <v>172</v>
      </c>
      <c r="HE27" s="7">
        <v>179</v>
      </c>
      <c r="HF27" s="7">
        <v>149</v>
      </c>
      <c r="HG27" s="7">
        <v>121</v>
      </c>
      <c r="HH27" s="7">
        <v>102</v>
      </c>
      <c r="HI27" s="7">
        <v>72</v>
      </c>
      <c r="HJ27" s="7">
        <v>75</v>
      </c>
      <c r="HK27" s="7">
        <v>56</v>
      </c>
      <c r="HL27" s="7">
        <v>45</v>
      </c>
      <c r="HM27" s="7">
        <v>34</v>
      </c>
      <c r="HN27" s="7">
        <v>20</v>
      </c>
      <c r="HO27" s="7">
        <v>8</v>
      </c>
      <c r="HP27" s="7">
        <v>12</v>
      </c>
      <c r="HQ27" s="7">
        <v>1343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4</v>
      </c>
      <c r="HY27" s="7">
        <v>85</v>
      </c>
      <c r="HZ27" s="7">
        <v>207</v>
      </c>
      <c r="IA27" s="7">
        <v>260</v>
      </c>
      <c r="IB27" s="7">
        <v>318</v>
      </c>
      <c r="IC27" s="7">
        <v>260</v>
      </c>
      <c r="ID27" s="7">
        <v>108</v>
      </c>
      <c r="IE27" s="7">
        <v>52</v>
      </c>
      <c r="IF27" s="7">
        <v>25</v>
      </c>
      <c r="IG27" s="7">
        <v>32</v>
      </c>
      <c r="IH27" s="7">
        <v>371</v>
      </c>
      <c r="II27" s="7">
        <v>515</v>
      </c>
      <c r="IJ27" s="7">
        <v>296</v>
      </c>
      <c r="IK27" s="7">
        <v>121</v>
      </c>
      <c r="IL27" s="7">
        <v>23</v>
      </c>
      <c r="IM27" s="7">
        <v>4</v>
      </c>
      <c r="IN27" s="7">
        <v>2</v>
      </c>
      <c r="IO27" s="7">
        <v>0</v>
      </c>
      <c r="IP27" s="7">
        <v>1</v>
      </c>
      <c r="IQ27" s="7">
        <v>883</v>
      </c>
      <c r="IR27" s="7">
        <v>351</v>
      </c>
      <c r="IS27" s="7">
        <v>83</v>
      </c>
      <c r="IT27" s="7">
        <v>14</v>
      </c>
      <c r="IU27" s="7">
        <v>3</v>
      </c>
      <c r="IV27" s="7">
        <v>735</v>
      </c>
      <c r="IW27" s="7">
        <v>559</v>
      </c>
      <c r="IX27" s="7">
        <v>4</v>
      </c>
      <c r="IY27" s="7">
        <v>33</v>
      </c>
      <c r="IZ27" s="7">
        <v>2</v>
      </c>
      <c r="JA27" s="7">
        <v>11</v>
      </c>
      <c r="JB27" s="7">
        <v>1072</v>
      </c>
      <c r="JC27" s="7">
        <v>12</v>
      </c>
      <c r="JD27" s="7">
        <v>8</v>
      </c>
      <c r="JE27" s="7">
        <v>156</v>
      </c>
      <c r="JF27" s="151">
        <v>1310.3654693528244</v>
      </c>
      <c r="JG27" s="151">
        <v>35.139127268685478</v>
      </c>
      <c r="JH27" s="7">
        <v>66</v>
      </c>
      <c r="JI27" s="7">
        <v>1194</v>
      </c>
      <c r="JJ27" s="7">
        <v>76</v>
      </c>
      <c r="JK27" s="7">
        <v>11</v>
      </c>
      <c r="JL27" s="7">
        <v>863</v>
      </c>
      <c r="JM27" s="7">
        <v>585</v>
      </c>
      <c r="JN27" s="7">
        <v>165</v>
      </c>
      <c r="JO27" s="7">
        <v>961</v>
      </c>
      <c r="JP27" s="7">
        <v>1211</v>
      </c>
      <c r="JQ27" s="7">
        <v>37</v>
      </c>
      <c r="JR27" s="7">
        <v>234</v>
      </c>
      <c r="JS27" s="7">
        <v>468</v>
      </c>
      <c r="JT27" s="7">
        <v>8</v>
      </c>
      <c r="JU27" s="151">
        <v>352.88655469828819</v>
      </c>
      <c r="JV27" s="151">
        <v>948.00879524879122</v>
      </c>
      <c r="JW27" s="151">
        <v>4.9842733714447487</v>
      </c>
      <c r="JX27" s="151">
        <v>4.4858460343002742</v>
      </c>
      <c r="JY27" s="7">
        <v>1318</v>
      </c>
      <c r="JZ27" s="7">
        <v>5386</v>
      </c>
      <c r="KA27" s="7">
        <v>0</v>
      </c>
      <c r="KB27" s="7">
        <v>0</v>
      </c>
      <c r="KC27" s="7">
        <v>0</v>
      </c>
      <c r="KD27" s="7">
        <v>0</v>
      </c>
      <c r="KE27" s="7">
        <v>0</v>
      </c>
      <c r="KF27" s="7">
        <v>0</v>
      </c>
      <c r="KG27" s="7">
        <v>19</v>
      </c>
      <c r="KH27" s="7">
        <v>239</v>
      </c>
      <c r="KI27" s="7">
        <v>4795</v>
      </c>
      <c r="KJ27" s="7">
        <v>314</v>
      </c>
      <c r="KK27" s="7">
        <v>57</v>
      </c>
      <c r="KL27" s="7">
        <v>1416</v>
      </c>
      <c r="KM27" s="7">
        <v>3804</v>
      </c>
      <c r="KN27" s="7">
        <v>20</v>
      </c>
      <c r="KO27" s="7">
        <v>18</v>
      </c>
      <c r="KP27" s="7">
        <v>5258</v>
      </c>
      <c r="KQ27" s="7">
        <v>141</v>
      </c>
      <c r="KR27" s="7">
        <v>718</v>
      </c>
      <c r="KS27" s="7">
        <v>718</v>
      </c>
      <c r="KT27" s="7">
        <v>173</v>
      </c>
      <c r="KU27" s="7">
        <v>43</v>
      </c>
      <c r="KV27" s="7">
        <v>113</v>
      </c>
      <c r="KW27" s="7">
        <v>0</v>
      </c>
      <c r="KX27" s="7">
        <v>135</v>
      </c>
      <c r="KY27" s="7">
        <v>41</v>
      </c>
      <c r="KZ27" s="7">
        <v>115</v>
      </c>
      <c r="LA27" s="7">
        <v>0</v>
      </c>
      <c r="LB27" s="7">
        <v>396</v>
      </c>
      <c r="LC27" s="7">
        <v>402</v>
      </c>
      <c r="LD27" s="7">
        <v>516</v>
      </c>
      <c r="LE27" s="7">
        <v>488</v>
      </c>
      <c r="LF27" s="7">
        <v>3807</v>
      </c>
      <c r="LG27" s="7">
        <v>8</v>
      </c>
      <c r="LH27" s="7">
        <v>766</v>
      </c>
      <c r="LI27" s="7">
        <v>114</v>
      </c>
      <c r="LJ27" s="7">
        <v>329</v>
      </c>
      <c r="LK27" s="7">
        <v>0</v>
      </c>
      <c r="LL27" s="7">
        <v>144</v>
      </c>
      <c r="LM27" s="7">
        <v>72</v>
      </c>
      <c r="LN27" s="7">
        <v>6</v>
      </c>
      <c r="LO27" s="7">
        <v>854</v>
      </c>
      <c r="LP27" s="7">
        <v>89</v>
      </c>
      <c r="LQ27" s="7">
        <v>276</v>
      </c>
      <c r="LR27" s="7">
        <v>0</v>
      </c>
      <c r="LS27" s="7">
        <v>131</v>
      </c>
      <c r="LT27" s="7">
        <v>36</v>
      </c>
      <c r="LU27" s="232">
        <v>4.8090478694999996</v>
      </c>
      <c r="LV27" s="232">
        <v>4.9912775782000001</v>
      </c>
      <c r="LW27" s="232">
        <v>4.6173772261000003</v>
      </c>
      <c r="LX27" s="7">
        <v>1347</v>
      </c>
      <c r="LY27" s="7">
        <v>5405</v>
      </c>
    </row>
    <row r="28" spans="1:337" x14ac:dyDescent="0.25">
      <c r="A28" t="s">
        <v>94</v>
      </c>
      <c r="B28" t="s">
        <v>95</v>
      </c>
      <c r="C28" s="7">
        <v>4345</v>
      </c>
      <c r="D28">
        <v>5018</v>
      </c>
      <c r="F28">
        <f t="shared" si="0"/>
        <v>-5018</v>
      </c>
      <c r="G28">
        <f t="shared" si="1"/>
        <v>-100</v>
      </c>
      <c r="H28">
        <v>2516</v>
      </c>
      <c r="I28">
        <v>2502</v>
      </c>
      <c r="J28">
        <v>3343</v>
      </c>
      <c r="K28">
        <v>1675</v>
      </c>
      <c r="L28" s="7">
        <v>275</v>
      </c>
      <c r="M28" s="7">
        <v>297</v>
      </c>
      <c r="N28" s="7">
        <v>263</v>
      </c>
      <c r="O28" s="7">
        <v>252</v>
      </c>
      <c r="P28" s="7">
        <v>202</v>
      </c>
      <c r="Q28" s="7">
        <v>197</v>
      </c>
      <c r="R28" s="7">
        <v>209</v>
      </c>
      <c r="S28" s="7">
        <v>190</v>
      </c>
      <c r="T28" s="7">
        <v>130</v>
      </c>
      <c r="U28" s="7">
        <v>107</v>
      </c>
      <c r="V28" s="7">
        <v>84</v>
      </c>
      <c r="W28" s="7">
        <v>93</v>
      </c>
      <c r="X28" s="7">
        <v>57</v>
      </c>
      <c r="Y28" s="7">
        <v>151</v>
      </c>
      <c r="Z28" s="7">
        <v>9</v>
      </c>
      <c r="AA28" s="7">
        <v>258</v>
      </c>
      <c r="AB28" s="7">
        <v>280</v>
      </c>
      <c r="AC28" s="7">
        <v>260</v>
      </c>
      <c r="AD28" s="7">
        <v>253</v>
      </c>
      <c r="AE28" s="7">
        <v>230</v>
      </c>
      <c r="AF28" s="7">
        <v>240</v>
      </c>
      <c r="AG28" s="7">
        <v>202</v>
      </c>
      <c r="AH28" s="7">
        <v>183</v>
      </c>
      <c r="AI28" s="7">
        <v>107</v>
      </c>
      <c r="AJ28" s="7">
        <v>135</v>
      </c>
      <c r="AK28" s="7">
        <v>87</v>
      </c>
      <c r="AL28" s="7">
        <v>66</v>
      </c>
      <c r="AM28" s="7">
        <v>55</v>
      </c>
      <c r="AN28" s="7">
        <v>136</v>
      </c>
      <c r="AO28" s="7">
        <v>10</v>
      </c>
      <c r="AP28">
        <v>4675</v>
      </c>
      <c r="AQ28">
        <v>312</v>
      </c>
      <c r="AR28">
        <v>3</v>
      </c>
      <c r="AS28" t="s">
        <v>358</v>
      </c>
      <c r="AT28">
        <v>28</v>
      </c>
      <c r="AU28" s="7">
        <v>400</v>
      </c>
      <c r="AV28" s="7">
        <v>218</v>
      </c>
      <c r="AW28" s="7">
        <v>182</v>
      </c>
      <c r="AX28" s="7">
        <v>416</v>
      </c>
      <c r="AY28" s="7">
        <v>400</v>
      </c>
      <c r="AZ28" s="7">
        <v>388</v>
      </c>
      <c r="BA28" s="7">
        <v>12</v>
      </c>
      <c r="BB28" s="7">
        <v>8</v>
      </c>
      <c r="BC28" s="7">
        <v>4</v>
      </c>
      <c r="BD28" s="7">
        <v>17</v>
      </c>
      <c r="BE28" s="7">
        <v>16</v>
      </c>
      <c r="BF28" s="7">
        <v>19</v>
      </c>
      <c r="BG28" s="7">
        <v>23</v>
      </c>
      <c r="BH28" s="7">
        <v>32</v>
      </c>
      <c r="BI28" s="7">
        <v>14</v>
      </c>
      <c r="BJ28" s="7">
        <v>16</v>
      </c>
      <c r="BK28" s="7">
        <v>19</v>
      </c>
      <c r="BL28" s="7">
        <v>20</v>
      </c>
      <c r="BM28" s="7">
        <v>18</v>
      </c>
      <c r="BN28" s="7">
        <v>19</v>
      </c>
      <c r="BO28" s="7">
        <v>14</v>
      </c>
      <c r="BP28" s="7">
        <v>24</v>
      </c>
      <c r="BQ28" s="7">
        <v>11</v>
      </c>
      <c r="BR28" s="7">
        <v>11</v>
      </c>
      <c r="BS28" s="7">
        <v>12</v>
      </c>
      <c r="BT28" s="7">
        <v>8</v>
      </c>
      <c r="BU28" s="7">
        <v>9</v>
      </c>
      <c r="BV28" s="7">
        <v>10</v>
      </c>
      <c r="BW28" s="7">
        <v>12</v>
      </c>
      <c r="BX28" s="7">
        <v>14</v>
      </c>
      <c r="BY28" s="7">
        <v>8</v>
      </c>
      <c r="BZ28" s="7">
        <v>9</v>
      </c>
      <c r="CA28" s="7">
        <v>5</v>
      </c>
      <c r="CB28" s="7">
        <v>11</v>
      </c>
      <c r="CC28" s="7">
        <v>17</v>
      </c>
      <c r="CD28" s="7">
        <v>214</v>
      </c>
      <c r="CE28" s="7">
        <v>175</v>
      </c>
      <c r="CF28" s="7">
        <v>2</v>
      </c>
      <c r="CG28" s="7">
        <v>1</v>
      </c>
      <c r="CH28" s="7">
        <v>1072</v>
      </c>
      <c r="CI28" s="7">
        <v>189</v>
      </c>
      <c r="CJ28" s="7">
        <v>4479</v>
      </c>
      <c r="CK28" s="7">
        <v>521</v>
      </c>
      <c r="CL28" s="7">
        <v>82</v>
      </c>
      <c r="CM28" s="7">
        <v>187</v>
      </c>
      <c r="CN28" s="7">
        <v>237</v>
      </c>
      <c r="CO28" s="7">
        <v>326</v>
      </c>
      <c r="CP28" s="7">
        <v>223</v>
      </c>
      <c r="CQ28" s="7">
        <v>206</v>
      </c>
      <c r="CR28" s="7">
        <v>1014</v>
      </c>
      <c r="CS28" s="7">
        <v>2381</v>
      </c>
      <c r="CT28" s="7">
        <v>162</v>
      </c>
      <c r="CU28" s="7">
        <v>54</v>
      </c>
      <c r="CV28" s="7">
        <v>38</v>
      </c>
      <c r="CW28" s="7">
        <v>77</v>
      </c>
      <c r="CX28" s="7">
        <v>3</v>
      </c>
      <c r="CY28" s="7">
        <v>3823</v>
      </c>
      <c r="CZ28" s="7">
        <v>1044</v>
      </c>
      <c r="DA28" s="7">
        <v>13</v>
      </c>
      <c r="DB28" s="7">
        <v>82</v>
      </c>
      <c r="DC28" s="7">
        <v>0</v>
      </c>
      <c r="DD28" s="7">
        <v>1111</v>
      </c>
      <c r="DE28" s="7">
        <v>564</v>
      </c>
      <c r="DF28" s="7">
        <v>0</v>
      </c>
      <c r="DG28" s="7">
        <v>3343</v>
      </c>
      <c r="DH28" s="7">
        <v>0</v>
      </c>
      <c r="DI28" s="7">
        <v>0</v>
      </c>
      <c r="DJ28" s="7">
        <v>0</v>
      </c>
      <c r="DK28" s="7">
        <v>0</v>
      </c>
      <c r="DL28" s="7">
        <v>16</v>
      </c>
      <c r="DM28" s="7">
        <v>2</v>
      </c>
      <c r="DN28" s="7">
        <v>0</v>
      </c>
      <c r="DO28" s="7">
        <v>1</v>
      </c>
      <c r="DP28" s="7">
        <v>0</v>
      </c>
      <c r="DQ28" s="7">
        <v>0</v>
      </c>
      <c r="DR28" s="7">
        <v>0</v>
      </c>
      <c r="DS28" s="7">
        <v>0</v>
      </c>
      <c r="DT28" s="7">
        <v>50</v>
      </c>
      <c r="DU28" s="7">
        <v>61</v>
      </c>
      <c r="DV28" s="7">
        <v>27</v>
      </c>
      <c r="DW28" s="7">
        <v>29</v>
      </c>
      <c r="DX28" s="7">
        <v>14</v>
      </c>
      <c r="DY28" s="7">
        <v>10</v>
      </c>
      <c r="DZ28" s="7">
        <v>11</v>
      </c>
      <c r="EA28" s="7">
        <v>13</v>
      </c>
      <c r="EB28" s="7">
        <v>4</v>
      </c>
      <c r="EC28" s="7">
        <v>2</v>
      </c>
      <c r="ED28" s="7">
        <v>1</v>
      </c>
      <c r="EE28" s="7">
        <v>5</v>
      </c>
      <c r="EF28" s="7">
        <v>11</v>
      </c>
      <c r="EG28" s="7">
        <v>11</v>
      </c>
      <c r="EH28" s="7">
        <v>71</v>
      </c>
      <c r="EI28" s="7">
        <v>30</v>
      </c>
      <c r="EJ28" s="7">
        <v>9</v>
      </c>
      <c r="EK28" s="7">
        <v>15</v>
      </c>
      <c r="EL28" s="7">
        <v>1</v>
      </c>
      <c r="EM28" s="7">
        <v>5</v>
      </c>
      <c r="EN28" s="7">
        <v>8</v>
      </c>
      <c r="EO28" s="7">
        <v>1442</v>
      </c>
      <c r="EP28" s="7">
        <v>1350</v>
      </c>
      <c r="EQ28" s="7">
        <v>92</v>
      </c>
      <c r="ER28" s="7">
        <v>389</v>
      </c>
      <c r="ES28" s="7">
        <v>233</v>
      </c>
      <c r="ET28" s="7">
        <v>227</v>
      </c>
      <c r="EU28" s="7">
        <v>6</v>
      </c>
      <c r="EV28" s="7">
        <v>1614</v>
      </c>
      <c r="EW28" s="134">
        <v>33.884297521000001</v>
      </c>
      <c r="EX28" s="134">
        <v>28.689492326</v>
      </c>
      <c r="EY28" s="134">
        <v>8.6186540732000001</v>
      </c>
      <c r="EZ28" s="134">
        <v>27.272727273000001</v>
      </c>
      <c r="FA28" s="134">
        <v>1.5348288076000001</v>
      </c>
      <c r="FB28" s="7">
        <v>119</v>
      </c>
      <c r="FC28" s="7">
        <v>661</v>
      </c>
      <c r="FD28" s="7">
        <v>65</v>
      </c>
      <c r="FE28" s="7">
        <v>558</v>
      </c>
      <c r="FF28" s="7">
        <v>0</v>
      </c>
      <c r="FG28" s="7">
        <v>220</v>
      </c>
      <c r="FH28" s="7">
        <v>47</v>
      </c>
      <c r="FI28" s="134">
        <v>42.030696575999997</v>
      </c>
      <c r="FJ28" s="134">
        <v>20.54309327</v>
      </c>
      <c r="FK28" s="134">
        <v>33.884297521000001</v>
      </c>
      <c r="FL28" s="134">
        <v>3.5419126327999999</v>
      </c>
      <c r="FM28" s="151">
        <v>1431</v>
      </c>
      <c r="FN28" s="151">
        <v>1071</v>
      </c>
      <c r="FO28" s="7">
        <v>267</v>
      </c>
      <c r="FP28" s="7">
        <v>26</v>
      </c>
      <c r="FQ28" s="7">
        <v>10</v>
      </c>
      <c r="FR28" s="7">
        <v>262</v>
      </c>
      <c r="FS28" s="7">
        <v>833</v>
      </c>
      <c r="FT28" s="7">
        <v>9</v>
      </c>
      <c r="FU28" s="7">
        <v>25</v>
      </c>
      <c r="FV28" s="7">
        <v>14</v>
      </c>
      <c r="FW28" s="7">
        <v>1462</v>
      </c>
      <c r="FX28" s="7">
        <v>1030</v>
      </c>
      <c r="FY28" s="7">
        <v>248</v>
      </c>
      <c r="FZ28" s="7">
        <v>19</v>
      </c>
      <c r="GA28" s="7">
        <v>10</v>
      </c>
      <c r="GB28" s="7">
        <v>249</v>
      </c>
      <c r="GC28" s="7">
        <v>896</v>
      </c>
      <c r="GD28" s="7">
        <v>8</v>
      </c>
      <c r="GE28" s="7">
        <v>32</v>
      </c>
      <c r="GF28" s="7">
        <v>10</v>
      </c>
      <c r="GG28" s="7">
        <v>171</v>
      </c>
      <c r="GH28" s="7">
        <v>189</v>
      </c>
      <c r="GI28" s="7">
        <v>160</v>
      </c>
      <c r="GJ28" s="7">
        <v>129</v>
      </c>
      <c r="GK28" s="7">
        <v>91</v>
      </c>
      <c r="GL28" s="7">
        <v>108</v>
      </c>
      <c r="GM28" s="7">
        <v>128</v>
      </c>
      <c r="GN28" s="7">
        <v>132</v>
      </c>
      <c r="GO28" s="7">
        <v>70</v>
      </c>
      <c r="GP28" s="7">
        <v>52</v>
      </c>
      <c r="GQ28" s="7">
        <v>37</v>
      </c>
      <c r="GR28" s="7">
        <v>50</v>
      </c>
      <c r="GS28" s="7">
        <v>30</v>
      </c>
      <c r="GT28" s="7">
        <v>25</v>
      </c>
      <c r="GU28" s="7">
        <v>25</v>
      </c>
      <c r="GV28" s="7">
        <v>18</v>
      </c>
      <c r="GW28" s="7">
        <v>6</v>
      </c>
      <c r="GX28" s="7">
        <v>10</v>
      </c>
      <c r="GY28" s="7">
        <v>165</v>
      </c>
      <c r="GZ28" s="7">
        <v>175</v>
      </c>
      <c r="HA28" s="7">
        <v>164</v>
      </c>
      <c r="HB28" s="7">
        <v>132</v>
      </c>
      <c r="HC28" s="7">
        <v>112</v>
      </c>
      <c r="HD28" s="7">
        <v>145</v>
      </c>
      <c r="HE28" s="7">
        <v>128</v>
      </c>
      <c r="HF28" s="7">
        <v>113</v>
      </c>
      <c r="HG28" s="7">
        <v>66</v>
      </c>
      <c r="HH28" s="7">
        <v>69</v>
      </c>
      <c r="HI28" s="7">
        <v>52</v>
      </c>
      <c r="HJ28" s="7">
        <v>43</v>
      </c>
      <c r="HK28" s="7">
        <v>34</v>
      </c>
      <c r="HL28" s="7">
        <v>27</v>
      </c>
      <c r="HM28" s="7">
        <v>21</v>
      </c>
      <c r="HN28" s="7">
        <v>9</v>
      </c>
      <c r="HO28" s="7">
        <v>3</v>
      </c>
      <c r="HP28" s="7">
        <v>4</v>
      </c>
      <c r="HQ28" s="7">
        <v>1255</v>
      </c>
      <c r="HR28" s="7">
        <v>0</v>
      </c>
      <c r="HS28" s="7">
        <v>0</v>
      </c>
      <c r="HT28" s="7">
        <v>0</v>
      </c>
      <c r="HU28" s="7">
        <v>0</v>
      </c>
      <c r="HV28" s="7">
        <v>1</v>
      </c>
      <c r="HW28" s="7">
        <v>0</v>
      </c>
      <c r="HX28" s="7">
        <v>11</v>
      </c>
      <c r="HY28" s="7">
        <v>82</v>
      </c>
      <c r="HZ28" s="7">
        <v>186</v>
      </c>
      <c r="IA28" s="7">
        <v>237</v>
      </c>
      <c r="IB28" s="7">
        <v>326</v>
      </c>
      <c r="IC28" s="7">
        <v>223</v>
      </c>
      <c r="ID28" s="7">
        <v>114</v>
      </c>
      <c r="IE28" s="7">
        <v>50</v>
      </c>
      <c r="IF28" s="7">
        <v>23</v>
      </c>
      <c r="IG28" s="7">
        <v>19</v>
      </c>
      <c r="IH28" s="7">
        <v>239</v>
      </c>
      <c r="II28" s="7">
        <v>366</v>
      </c>
      <c r="IJ28" s="7">
        <v>368</v>
      </c>
      <c r="IK28" s="7">
        <v>219</v>
      </c>
      <c r="IL28" s="7">
        <v>46</v>
      </c>
      <c r="IM28" s="7">
        <v>10</v>
      </c>
      <c r="IN28" s="7">
        <v>5</v>
      </c>
      <c r="IO28" s="7">
        <v>1</v>
      </c>
      <c r="IP28" s="7">
        <v>1</v>
      </c>
      <c r="IQ28" s="7">
        <v>799</v>
      </c>
      <c r="IR28" s="7">
        <v>381</v>
      </c>
      <c r="IS28" s="7">
        <v>67</v>
      </c>
      <c r="IT28" s="7">
        <v>9</v>
      </c>
      <c r="IU28" s="7">
        <v>3</v>
      </c>
      <c r="IV28" s="7">
        <v>567</v>
      </c>
      <c r="IW28" s="7">
        <v>594</v>
      </c>
      <c r="IX28" s="7">
        <v>14</v>
      </c>
      <c r="IY28" s="7">
        <v>23</v>
      </c>
      <c r="IZ28" s="7">
        <v>3</v>
      </c>
      <c r="JA28" s="7">
        <v>54</v>
      </c>
      <c r="JB28" s="7">
        <v>779</v>
      </c>
      <c r="JC28" s="7">
        <v>383</v>
      </c>
      <c r="JD28" s="7">
        <v>3</v>
      </c>
      <c r="JE28" s="7">
        <v>17</v>
      </c>
      <c r="JF28" s="151">
        <v>1178.2784172028648</v>
      </c>
      <c r="JG28" s="151">
        <v>80.451801174596298</v>
      </c>
      <c r="JH28" s="7">
        <v>77</v>
      </c>
      <c r="JI28" s="7">
        <v>1062</v>
      </c>
      <c r="JJ28" s="7">
        <v>108</v>
      </c>
      <c r="JK28" s="7">
        <v>13</v>
      </c>
      <c r="JL28" s="7">
        <v>873</v>
      </c>
      <c r="JM28" s="7">
        <v>478</v>
      </c>
      <c r="JN28" s="7">
        <v>116</v>
      </c>
      <c r="JO28" s="7">
        <v>685</v>
      </c>
      <c r="JP28" s="7">
        <v>1054</v>
      </c>
      <c r="JQ28" s="7">
        <v>79</v>
      </c>
      <c r="JR28" s="7">
        <v>151</v>
      </c>
      <c r="JS28" s="7">
        <v>666</v>
      </c>
      <c r="JT28" s="7">
        <v>24</v>
      </c>
      <c r="JU28" s="151">
        <v>359.63720525070318</v>
      </c>
      <c r="JV28" s="151">
        <v>790.14261153608209</v>
      </c>
      <c r="JW28" s="151">
        <v>22.445800327708685</v>
      </c>
      <c r="JX28" s="151">
        <v>6.0528000883708808</v>
      </c>
      <c r="JY28" s="7">
        <v>1238</v>
      </c>
      <c r="JZ28" s="7">
        <v>4981</v>
      </c>
      <c r="KA28" s="7">
        <v>0</v>
      </c>
      <c r="KB28" s="7">
        <v>0</v>
      </c>
      <c r="KC28" s="7">
        <v>0</v>
      </c>
      <c r="KD28" s="7">
        <v>0</v>
      </c>
      <c r="KE28" s="7">
        <v>2</v>
      </c>
      <c r="KF28" s="7">
        <v>0</v>
      </c>
      <c r="KG28" s="7">
        <v>35</v>
      </c>
      <c r="KH28" s="7">
        <v>251</v>
      </c>
      <c r="KI28" s="7">
        <v>4266</v>
      </c>
      <c r="KJ28" s="7">
        <v>430</v>
      </c>
      <c r="KK28" s="7">
        <v>51</v>
      </c>
      <c r="KL28" s="7">
        <v>1426</v>
      </c>
      <c r="KM28" s="7">
        <v>3133</v>
      </c>
      <c r="KN28" s="7">
        <v>89</v>
      </c>
      <c r="KO28" s="7">
        <v>24</v>
      </c>
      <c r="KP28" s="7">
        <v>4672</v>
      </c>
      <c r="KQ28" s="7">
        <v>319</v>
      </c>
      <c r="KR28" s="7">
        <v>725</v>
      </c>
      <c r="KS28" s="7">
        <v>725</v>
      </c>
      <c r="KT28" s="7">
        <v>155</v>
      </c>
      <c r="KU28" s="7">
        <v>57</v>
      </c>
      <c r="KV28" s="7">
        <v>133</v>
      </c>
      <c r="KW28" s="7">
        <v>0</v>
      </c>
      <c r="KX28" s="7">
        <v>137</v>
      </c>
      <c r="KY28" s="7">
        <v>60</v>
      </c>
      <c r="KZ28" s="7">
        <v>144</v>
      </c>
      <c r="LA28" s="7">
        <v>0</v>
      </c>
      <c r="LB28" s="7">
        <v>416</v>
      </c>
      <c r="LC28" s="7">
        <v>397</v>
      </c>
      <c r="LD28" s="7">
        <v>139</v>
      </c>
      <c r="LE28" s="7">
        <v>312</v>
      </c>
      <c r="LF28" s="7">
        <v>3366</v>
      </c>
      <c r="LG28" s="7">
        <v>4</v>
      </c>
      <c r="LH28" s="7">
        <v>636</v>
      </c>
      <c r="LI28" s="7">
        <v>85</v>
      </c>
      <c r="LJ28" s="7">
        <v>542</v>
      </c>
      <c r="LK28" s="7">
        <v>0</v>
      </c>
      <c r="LL28" s="7">
        <v>235</v>
      </c>
      <c r="LM28" s="7">
        <v>32</v>
      </c>
      <c r="LN28" s="7">
        <v>4</v>
      </c>
      <c r="LO28" s="7">
        <v>740</v>
      </c>
      <c r="LP28" s="7">
        <v>90</v>
      </c>
      <c r="LQ28" s="7">
        <v>394</v>
      </c>
      <c r="LR28" s="7">
        <v>1</v>
      </c>
      <c r="LS28" s="7">
        <v>182</v>
      </c>
      <c r="LT28" s="7">
        <v>29</v>
      </c>
      <c r="LU28" s="232">
        <v>6.4073410922000003</v>
      </c>
      <c r="LV28" s="232">
        <v>6.9294755876999998</v>
      </c>
      <c r="LW28" s="232">
        <v>5.8953900708999996</v>
      </c>
      <c r="LX28" s="7">
        <v>1260</v>
      </c>
      <c r="LY28" s="7">
        <v>4998</v>
      </c>
    </row>
    <row r="29" spans="1:337" x14ac:dyDescent="0.25">
      <c r="A29" t="s">
        <v>96</v>
      </c>
      <c r="B29" t="s">
        <v>97</v>
      </c>
      <c r="C29" s="7">
        <v>24994</v>
      </c>
      <c r="D29">
        <v>31515</v>
      </c>
      <c r="F29">
        <f t="shared" si="0"/>
        <v>-31515</v>
      </c>
      <c r="G29">
        <f t="shared" si="1"/>
        <v>-100</v>
      </c>
      <c r="H29">
        <v>15715</v>
      </c>
      <c r="I29">
        <v>15800</v>
      </c>
      <c r="J29">
        <v>9008</v>
      </c>
      <c r="K29">
        <v>22507</v>
      </c>
      <c r="L29" s="7">
        <v>1826</v>
      </c>
      <c r="M29" s="7">
        <v>1885</v>
      </c>
      <c r="N29" s="7">
        <v>1961</v>
      </c>
      <c r="O29" s="7">
        <v>1880</v>
      </c>
      <c r="P29" s="7">
        <v>1316</v>
      </c>
      <c r="Q29" s="7">
        <v>1122</v>
      </c>
      <c r="R29" s="7">
        <v>1040</v>
      </c>
      <c r="S29" s="7">
        <v>974</v>
      </c>
      <c r="T29" s="7">
        <v>750</v>
      </c>
      <c r="U29" s="7">
        <v>640</v>
      </c>
      <c r="V29" s="7">
        <v>586</v>
      </c>
      <c r="W29" s="7">
        <v>484</v>
      </c>
      <c r="X29" s="7">
        <v>398</v>
      </c>
      <c r="Y29" s="7">
        <v>848</v>
      </c>
      <c r="Z29" s="7">
        <v>5</v>
      </c>
      <c r="AA29" s="7">
        <v>1707</v>
      </c>
      <c r="AB29" s="7">
        <v>1872</v>
      </c>
      <c r="AC29" s="7">
        <v>1931</v>
      </c>
      <c r="AD29" s="7">
        <v>1808</v>
      </c>
      <c r="AE29" s="7">
        <v>1523</v>
      </c>
      <c r="AF29" s="7">
        <v>1206</v>
      </c>
      <c r="AG29" s="7">
        <v>1163</v>
      </c>
      <c r="AH29" s="7">
        <v>1046</v>
      </c>
      <c r="AI29" s="7">
        <v>757</v>
      </c>
      <c r="AJ29" s="7">
        <v>650</v>
      </c>
      <c r="AK29" s="7">
        <v>614</v>
      </c>
      <c r="AL29" s="7">
        <v>422</v>
      </c>
      <c r="AM29" s="7">
        <v>358</v>
      </c>
      <c r="AN29" s="7">
        <v>735</v>
      </c>
      <c r="AO29" s="7">
        <v>8</v>
      </c>
      <c r="AP29">
        <v>31112</v>
      </c>
      <c r="AQ29">
        <v>92</v>
      </c>
      <c r="AR29">
        <v>43</v>
      </c>
      <c r="AS29">
        <v>174</v>
      </c>
      <c r="AT29">
        <v>94</v>
      </c>
      <c r="AU29" s="7">
        <v>184</v>
      </c>
      <c r="AV29" s="7">
        <v>112</v>
      </c>
      <c r="AW29" s="7">
        <v>72</v>
      </c>
      <c r="AX29" s="7">
        <v>85</v>
      </c>
      <c r="AY29" s="7">
        <v>184</v>
      </c>
      <c r="AZ29" s="7">
        <v>158</v>
      </c>
      <c r="BA29" s="7">
        <v>26</v>
      </c>
      <c r="BB29" s="7">
        <v>11</v>
      </c>
      <c r="BC29" s="7">
        <v>2</v>
      </c>
      <c r="BD29" s="7">
        <v>15</v>
      </c>
      <c r="BE29" s="7">
        <v>7</v>
      </c>
      <c r="BF29" s="7">
        <v>11</v>
      </c>
      <c r="BG29" s="7">
        <v>9</v>
      </c>
      <c r="BH29" s="7">
        <v>16</v>
      </c>
      <c r="BI29" s="7">
        <v>9</v>
      </c>
      <c r="BJ29" s="7">
        <v>6</v>
      </c>
      <c r="BK29" s="7">
        <v>9</v>
      </c>
      <c r="BL29" s="7">
        <v>7</v>
      </c>
      <c r="BM29" s="7">
        <v>5</v>
      </c>
      <c r="BN29" s="7">
        <v>8</v>
      </c>
      <c r="BO29" s="7">
        <v>10</v>
      </c>
      <c r="BP29" s="7">
        <v>9</v>
      </c>
      <c r="BQ29" s="7">
        <v>7</v>
      </c>
      <c r="BR29" s="7">
        <v>3</v>
      </c>
      <c r="BS29" s="7">
        <v>1</v>
      </c>
      <c r="BT29" s="7">
        <v>2</v>
      </c>
      <c r="BU29" s="7">
        <v>2</v>
      </c>
      <c r="BV29" s="7">
        <v>5</v>
      </c>
      <c r="BW29" s="7">
        <v>3</v>
      </c>
      <c r="BX29" s="7">
        <v>2</v>
      </c>
      <c r="BY29" s="7">
        <v>2</v>
      </c>
      <c r="BZ29" s="7">
        <v>5</v>
      </c>
      <c r="CA29" s="7">
        <v>2</v>
      </c>
      <c r="CB29" s="7">
        <v>12</v>
      </c>
      <c r="CC29" s="7">
        <v>4</v>
      </c>
      <c r="CD29" s="7">
        <v>87</v>
      </c>
      <c r="CE29" s="7">
        <v>54</v>
      </c>
      <c r="CF29" s="7">
        <v>1</v>
      </c>
      <c r="CG29" s="7">
        <v>0</v>
      </c>
      <c r="CH29" s="7">
        <v>5680</v>
      </c>
      <c r="CI29" s="7">
        <v>1073</v>
      </c>
      <c r="CJ29" s="7">
        <v>27355</v>
      </c>
      <c r="CK29" s="7">
        <v>4151</v>
      </c>
      <c r="CL29" s="7">
        <v>285</v>
      </c>
      <c r="CM29" s="7">
        <v>700</v>
      </c>
      <c r="CN29" s="7">
        <v>1076</v>
      </c>
      <c r="CO29" s="7">
        <v>1470</v>
      </c>
      <c r="CP29" s="7">
        <v>1233</v>
      </c>
      <c r="CQ29" s="7">
        <v>1989</v>
      </c>
      <c r="CR29" s="7">
        <v>5366</v>
      </c>
      <c r="CS29" s="7">
        <v>14709</v>
      </c>
      <c r="CT29" s="7">
        <v>2563</v>
      </c>
      <c r="CU29" s="7">
        <v>863</v>
      </c>
      <c r="CV29" s="7">
        <v>310</v>
      </c>
      <c r="CW29" s="7">
        <v>719</v>
      </c>
      <c r="CX29" s="7">
        <v>133</v>
      </c>
      <c r="CY29" s="7">
        <v>18862</v>
      </c>
      <c r="CZ29" s="7">
        <v>11397</v>
      </c>
      <c r="DA29" s="7">
        <v>412</v>
      </c>
      <c r="DB29" s="7">
        <v>285</v>
      </c>
      <c r="DC29" s="7">
        <v>45</v>
      </c>
      <c r="DD29" s="7">
        <v>8677</v>
      </c>
      <c r="DE29" s="7">
        <v>5222</v>
      </c>
      <c r="DF29" s="7">
        <v>8608</v>
      </c>
      <c r="DG29" s="7">
        <v>3070</v>
      </c>
      <c r="DH29" s="7">
        <v>5938</v>
      </c>
      <c r="DI29" s="7">
        <v>0</v>
      </c>
      <c r="DJ29" s="7">
        <v>0</v>
      </c>
      <c r="DK29" s="7">
        <v>0</v>
      </c>
      <c r="DL29" s="7">
        <v>179</v>
      </c>
      <c r="DM29" s="7">
        <v>15</v>
      </c>
      <c r="DN29" s="7">
        <v>10</v>
      </c>
      <c r="DO29" s="7">
        <v>1</v>
      </c>
      <c r="DP29" s="7">
        <v>1</v>
      </c>
      <c r="DQ29" s="7">
        <v>0</v>
      </c>
      <c r="DR29" s="7">
        <v>0</v>
      </c>
      <c r="DS29" s="7">
        <v>0</v>
      </c>
      <c r="DT29" s="7">
        <v>132</v>
      </c>
      <c r="DU29" s="7">
        <v>119</v>
      </c>
      <c r="DV29" s="7">
        <v>81</v>
      </c>
      <c r="DW29" s="7">
        <v>55</v>
      </c>
      <c r="DX29" s="7">
        <v>39</v>
      </c>
      <c r="DY29" s="7">
        <v>28</v>
      </c>
      <c r="DZ29" s="7">
        <v>44</v>
      </c>
      <c r="EA29" s="7">
        <v>34</v>
      </c>
      <c r="EB29" s="7">
        <v>19</v>
      </c>
      <c r="EC29" s="7">
        <v>1</v>
      </c>
      <c r="ED29" s="7">
        <v>15</v>
      </c>
      <c r="EE29" s="7">
        <v>8</v>
      </c>
      <c r="EF29" s="7">
        <v>55</v>
      </c>
      <c r="EG29" s="7">
        <v>38</v>
      </c>
      <c r="EH29" s="7">
        <v>131</v>
      </c>
      <c r="EI29" s="7">
        <v>63</v>
      </c>
      <c r="EJ29" s="7">
        <v>33</v>
      </c>
      <c r="EK29" s="7">
        <v>36</v>
      </c>
      <c r="EL29" s="7">
        <v>10</v>
      </c>
      <c r="EM29" s="7">
        <v>12</v>
      </c>
      <c r="EN29" s="7">
        <v>36</v>
      </c>
      <c r="EO29" s="7">
        <v>8749</v>
      </c>
      <c r="EP29" s="7">
        <v>8216</v>
      </c>
      <c r="EQ29" s="7">
        <v>533</v>
      </c>
      <c r="ER29" s="7">
        <v>2345</v>
      </c>
      <c r="ES29" s="7">
        <v>848</v>
      </c>
      <c r="ET29" s="7">
        <v>826</v>
      </c>
      <c r="EU29" s="7">
        <v>22</v>
      </c>
      <c r="EV29" s="7">
        <v>10550</v>
      </c>
      <c r="EW29" s="134">
        <v>72.655381194</v>
      </c>
      <c r="EX29" s="134">
        <v>8.0563449894999994</v>
      </c>
      <c r="EY29" s="134">
        <v>5.6715680216999997</v>
      </c>
      <c r="EZ29" s="134">
        <v>13.097738787000001</v>
      </c>
      <c r="FA29" s="134">
        <v>0.51896700849999999</v>
      </c>
      <c r="FB29" s="7">
        <v>1323</v>
      </c>
      <c r="FC29" s="7">
        <v>5299</v>
      </c>
      <c r="FD29" s="7">
        <v>353</v>
      </c>
      <c r="FE29" s="7">
        <v>1590</v>
      </c>
      <c r="FF29" s="7">
        <v>2</v>
      </c>
      <c r="FG29" s="7">
        <v>591</v>
      </c>
      <c r="FH29" s="7">
        <v>416</v>
      </c>
      <c r="FI29" s="134">
        <v>74.718892870000005</v>
      </c>
      <c r="FJ29" s="134">
        <v>13.110095144000001</v>
      </c>
      <c r="FK29" s="134">
        <v>9.5143951563000009</v>
      </c>
      <c r="FL29" s="134">
        <v>2.6566168293999999</v>
      </c>
      <c r="FM29" s="151">
        <v>7519</v>
      </c>
      <c r="FN29" s="151">
        <v>8155</v>
      </c>
      <c r="FO29" s="7">
        <v>1427</v>
      </c>
      <c r="FP29" s="7">
        <v>190</v>
      </c>
      <c r="FQ29" s="7">
        <v>42</v>
      </c>
      <c r="FR29" s="7">
        <v>3</v>
      </c>
      <c r="FS29" s="7">
        <v>5847</v>
      </c>
      <c r="FT29" s="7">
        <v>10</v>
      </c>
      <c r="FU29" s="7">
        <v>35</v>
      </c>
      <c r="FV29" s="7">
        <v>41</v>
      </c>
      <c r="FW29" s="7">
        <v>8429</v>
      </c>
      <c r="FX29" s="7">
        <v>7322</v>
      </c>
      <c r="FY29" s="7">
        <v>1443</v>
      </c>
      <c r="FZ29" s="7">
        <v>181</v>
      </c>
      <c r="GA29" s="7">
        <v>49</v>
      </c>
      <c r="GB29" s="7">
        <v>0</v>
      </c>
      <c r="GC29" s="7">
        <v>6754</v>
      </c>
      <c r="GD29" s="7">
        <v>9</v>
      </c>
      <c r="GE29" s="7">
        <v>39</v>
      </c>
      <c r="GF29" s="7">
        <v>49</v>
      </c>
      <c r="GG29" s="7">
        <v>914</v>
      </c>
      <c r="GH29" s="7">
        <v>984</v>
      </c>
      <c r="GI29" s="7">
        <v>1022</v>
      </c>
      <c r="GJ29" s="7">
        <v>831</v>
      </c>
      <c r="GK29" s="7">
        <v>492</v>
      </c>
      <c r="GL29" s="7">
        <v>468</v>
      </c>
      <c r="GM29" s="7">
        <v>496</v>
      </c>
      <c r="GN29" s="7">
        <v>505</v>
      </c>
      <c r="GO29" s="7">
        <v>366</v>
      </c>
      <c r="GP29" s="7">
        <v>324</v>
      </c>
      <c r="GQ29" s="7">
        <v>303</v>
      </c>
      <c r="GR29" s="7">
        <v>219</v>
      </c>
      <c r="GS29" s="7">
        <v>171</v>
      </c>
      <c r="GT29" s="7">
        <v>126</v>
      </c>
      <c r="GU29" s="7">
        <v>145</v>
      </c>
      <c r="GV29" s="7">
        <v>83</v>
      </c>
      <c r="GW29" s="7">
        <v>37</v>
      </c>
      <c r="GX29" s="7">
        <v>32</v>
      </c>
      <c r="GY29" s="7">
        <v>881</v>
      </c>
      <c r="GZ29" s="7">
        <v>999</v>
      </c>
      <c r="HA29" s="7">
        <v>973</v>
      </c>
      <c r="HB29" s="7">
        <v>854</v>
      </c>
      <c r="HC29" s="7">
        <v>747</v>
      </c>
      <c r="HD29" s="7">
        <v>666</v>
      </c>
      <c r="HE29" s="7">
        <v>667</v>
      </c>
      <c r="HF29" s="7">
        <v>598</v>
      </c>
      <c r="HG29" s="7">
        <v>450</v>
      </c>
      <c r="HH29" s="7">
        <v>363</v>
      </c>
      <c r="HI29" s="7">
        <v>360</v>
      </c>
      <c r="HJ29" s="7">
        <v>230</v>
      </c>
      <c r="HK29" s="7">
        <v>206</v>
      </c>
      <c r="HL29" s="7">
        <v>162</v>
      </c>
      <c r="HM29" s="7">
        <v>147</v>
      </c>
      <c r="HN29" s="7">
        <v>64</v>
      </c>
      <c r="HO29" s="7">
        <v>26</v>
      </c>
      <c r="HP29" s="7">
        <v>34</v>
      </c>
      <c r="HQ29" s="7">
        <v>6741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15</v>
      </c>
      <c r="HY29" s="7">
        <v>285</v>
      </c>
      <c r="HZ29" s="7">
        <v>700</v>
      </c>
      <c r="IA29" s="7">
        <v>1076</v>
      </c>
      <c r="IB29" s="7">
        <v>1470</v>
      </c>
      <c r="IC29" s="7">
        <v>1233</v>
      </c>
      <c r="ID29" s="7">
        <v>884</v>
      </c>
      <c r="IE29" s="7">
        <v>451</v>
      </c>
      <c r="IF29" s="7">
        <v>270</v>
      </c>
      <c r="IG29" s="7">
        <v>384</v>
      </c>
      <c r="IH29" s="7">
        <v>510</v>
      </c>
      <c r="II29" s="7">
        <v>1904</v>
      </c>
      <c r="IJ29" s="7">
        <v>2209</v>
      </c>
      <c r="IK29" s="7">
        <v>1297</v>
      </c>
      <c r="IL29" s="7">
        <v>530</v>
      </c>
      <c r="IM29" s="7">
        <v>189</v>
      </c>
      <c r="IN29" s="7">
        <v>54</v>
      </c>
      <c r="IO29" s="7">
        <v>19</v>
      </c>
      <c r="IP29" s="7">
        <v>23</v>
      </c>
      <c r="IQ29" s="7">
        <v>3047</v>
      </c>
      <c r="IR29" s="7">
        <v>2667</v>
      </c>
      <c r="IS29" s="7">
        <v>840</v>
      </c>
      <c r="IT29" s="7">
        <v>156</v>
      </c>
      <c r="IU29" s="7">
        <v>30</v>
      </c>
      <c r="IV29" s="7">
        <v>2437</v>
      </c>
      <c r="IW29" s="7">
        <v>1951</v>
      </c>
      <c r="IX29" s="7">
        <v>303</v>
      </c>
      <c r="IY29" s="7">
        <v>88</v>
      </c>
      <c r="IZ29" s="7">
        <v>194</v>
      </c>
      <c r="JA29" s="7">
        <v>1762</v>
      </c>
      <c r="JB29" s="7">
        <v>1440</v>
      </c>
      <c r="JC29" s="7">
        <v>4218</v>
      </c>
      <c r="JD29" s="7">
        <v>19</v>
      </c>
      <c r="JE29" s="7">
        <v>83</v>
      </c>
      <c r="JF29" s="151">
        <v>6299.0276245841269</v>
      </c>
      <c r="JG29" s="151">
        <v>441.54065967889278</v>
      </c>
      <c r="JH29" s="7">
        <v>1106</v>
      </c>
      <c r="JI29" s="7">
        <v>5325</v>
      </c>
      <c r="JJ29" s="7">
        <v>294</v>
      </c>
      <c r="JK29" s="7">
        <v>28</v>
      </c>
      <c r="JL29" s="7">
        <v>4175</v>
      </c>
      <c r="JM29" s="7">
        <v>2211</v>
      </c>
      <c r="JN29" s="7">
        <v>1106</v>
      </c>
      <c r="JO29" s="7">
        <v>5095</v>
      </c>
      <c r="JP29" s="7">
        <v>5336</v>
      </c>
      <c r="JQ29" s="7">
        <v>270</v>
      </c>
      <c r="JR29" s="7">
        <v>790</v>
      </c>
      <c r="JS29" s="7">
        <v>1946</v>
      </c>
      <c r="JT29" s="7">
        <v>109</v>
      </c>
      <c r="JU29" s="151">
        <v>286.57274853916488</v>
      </c>
      <c r="JV29" s="151">
        <v>5588.275766576744</v>
      </c>
      <c r="JW29" s="151">
        <v>379.59636324821315</v>
      </c>
      <c r="JX29" s="151">
        <v>44.582746220004708</v>
      </c>
      <c r="JY29" s="7">
        <v>6466</v>
      </c>
      <c r="JZ29" s="7">
        <v>31443</v>
      </c>
      <c r="KA29" s="7">
        <v>0</v>
      </c>
      <c r="KB29" s="7">
        <v>0</v>
      </c>
      <c r="KC29" s="7">
        <v>0</v>
      </c>
      <c r="KD29" s="7">
        <v>0</v>
      </c>
      <c r="KE29" s="7">
        <v>0</v>
      </c>
      <c r="KF29" s="7">
        <v>0</v>
      </c>
      <c r="KG29" s="7">
        <v>72</v>
      </c>
      <c r="KH29" s="7">
        <v>5435</v>
      </c>
      <c r="KI29" s="7">
        <v>24728</v>
      </c>
      <c r="KJ29" s="7">
        <v>1186</v>
      </c>
      <c r="KK29" s="7">
        <v>157</v>
      </c>
      <c r="KL29" s="7">
        <v>1337</v>
      </c>
      <c r="KM29" s="7">
        <v>26072</v>
      </c>
      <c r="KN29" s="7">
        <v>1771</v>
      </c>
      <c r="KO29" s="7">
        <v>208</v>
      </c>
      <c r="KP29" s="7">
        <v>29388</v>
      </c>
      <c r="KQ29" s="7">
        <v>2060</v>
      </c>
      <c r="KR29" s="7">
        <v>4686</v>
      </c>
      <c r="KS29" s="7">
        <v>4686</v>
      </c>
      <c r="KT29" s="7">
        <v>966</v>
      </c>
      <c r="KU29" s="7">
        <v>309</v>
      </c>
      <c r="KV29" s="7">
        <v>843</v>
      </c>
      <c r="KW29" s="7">
        <v>2</v>
      </c>
      <c r="KX29" s="7">
        <v>930</v>
      </c>
      <c r="KY29" s="7">
        <v>309</v>
      </c>
      <c r="KZ29" s="7">
        <v>838</v>
      </c>
      <c r="LA29" s="7">
        <v>0</v>
      </c>
      <c r="LB29" s="7">
        <v>2834</v>
      </c>
      <c r="LC29" s="7">
        <v>2856</v>
      </c>
      <c r="LD29" s="7">
        <v>1368</v>
      </c>
      <c r="LE29" s="7">
        <v>2247</v>
      </c>
      <c r="LF29" s="7">
        <v>20320</v>
      </c>
      <c r="LG29" s="7">
        <v>26</v>
      </c>
      <c r="LH29" s="7">
        <v>5197</v>
      </c>
      <c r="LI29" s="7">
        <v>623</v>
      </c>
      <c r="LJ29" s="7">
        <v>1687</v>
      </c>
      <c r="LK29" s="7">
        <v>3</v>
      </c>
      <c r="LL29" s="7">
        <v>760</v>
      </c>
      <c r="LM29" s="7">
        <v>338</v>
      </c>
      <c r="LN29" s="7">
        <v>42</v>
      </c>
      <c r="LO29" s="7">
        <v>5107</v>
      </c>
      <c r="LP29" s="7">
        <v>528</v>
      </c>
      <c r="LQ29" s="7">
        <v>1556</v>
      </c>
      <c r="LR29" s="7">
        <v>0</v>
      </c>
      <c r="LS29" s="7">
        <v>657</v>
      </c>
      <c r="LT29" s="7">
        <v>229</v>
      </c>
      <c r="LU29" s="232">
        <v>5.1076809088999999</v>
      </c>
      <c r="LV29" s="232">
        <v>5.4361127774</v>
      </c>
      <c r="LW29" s="232">
        <v>4.7869764717000001</v>
      </c>
      <c r="LX29" s="7">
        <v>6753</v>
      </c>
      <c r="LY29" s="7">
        <v>31506</v>
      </c>
    </row>
    <row r="30" spans="1:337" x14ac:dyDescent="0.25">
      <c r="A30" t="s">
        <v>98</v>
      </c>
      <c r="B30" t="s">
        <v>99</v>
      </c>
      <c r="C30" s="7">
        <v>77686</v>
      </c>
      <c r="D30">
        <v>111554</v>
      </c>
      <c r="F30">
        <f t="shared" si="0"/>
        <v>-111554</v>
      </c>
      <c r="G30">
        <f t="shared" si="1"/>
        <v>-100</v>
      </c>
      <c r="H30">
        <v>55205</v>
      </c>
      <c r="I30">
        <v>56349</v>
      </c>
      <c r="J30">
        <v>17828</v>
      </c>
      <c r="K30">
        <v>93726</v>
      </c>
      <c r="L30" s="7">
        <v>8104</v>
      </c>
      <c r="M30" s="7">
        <v>8300</v>
      </c>
      <c r="N30" s="7">
        <v>8379</v>
      </c>
      <c r="O30" s="7">
        <v>6575</v>
      </c>
      <c r="P30" s="7">
        <v>4527</v>
      </c>
      <c r="Q30" s="7">
        <v>3440</v>
      </c>
      <c r="R30" s="7">
        <v>3073</v>
      </c>
      <c r="S30" s="7">
        <v>2770</v>
      </c>
      <c r="T30" s="7">
        <v>2181</v>
      </c>
      <c r="U30" s="7">
        <v>1859</v>
      </c>
      <c r="V30" s="7">
        <v>1297</v>
      </c>
      <c r="W30" s="7">
        <v>942</v>
      </c>
      <c r="X30" s="7">
        <v>867</v>
      </c>
      <c r="Y30" s="7">
        <v>1768</v>
      </c>
      <c r="Z30" s="7">
        <v>1123</v>
      </c>
      <c r="AA30" s="7">
        <v>7964</v>
      </c>
      <c r="AB30" s="7">
        <v>8491</v>
      </c>
      <c r="AC30" s="7">
        <v>7964</v>
      </c>
      <c r="AD30" s="7">
        <v>6560</v>
      </c>
      <c r="AE30" s="7">
        <v>4983</v>
      </c>
      <c r="AF30" s="7">
        <v>4007</v>
      </c>
      <c r="AG30" s="7">
        <v>3413</v>
      </c>
      <c r="AH30" s="7">
        <v>3184</v>
      </c>
      <c r="AI30" s="7">
        <v>2157</v>
      </c>
      <c r="AJ30" s="7">
        <v>1870</v>
      </c>
      <c r="AK30" s="7">
        <v>1308</v>
      </c>
      <c r="AL30" s="7">
        <v>996</v>
      </c>
      <c r="AM30" s="7">
        <v>820</v>
      </c>
      <c r="AN30" s="7">
        <v>1512</v>
      </c>
      <c r="AO30" s="7">
        <v>1120</v>
      </c>
      <c r="AP30">
        <v>109110</v>
      </c>
      <c r="AQ30">
        <v>111</v>
      </c>
      <c r="AR30">
        <v>6</v>
      </c>
      <c r="AS30">
        <v>2</v>
      </c>
      <c r="AT30">
        <v>2325</v>
      </c>
      <c r="AU30" s="7">
        <v>96567</v>
      </c>
      <c r="AV30" s="7">
        <v>47777</v>
      </c>
      <c r="AW30" s="7">
        <v>48790</v>
      </c>
      <c r="AX30" s="7">
        <v>50387</v>
      </c>
      <c r="AY30" s="7">
        <v>96567</v>
      </c>
      <c r="AZ30" s="7">
        <v>83264</v>
      </c>
      <c r="BA30" s="7">
        <v>13303</v>
      </c>
      <c r="BB30" s="7">
        <v>3248</v>
      </c>
      <c r="BC30" s="7">
        <v>3251</v>
      </c>
      <c r="BD30" s="7">
        <v>7941</v>
      </c>
      <c r="BE30" s="7">
        <v>8150</v>
      </c>
      <c r="BF30" s="7">
        <v>8081</v>
      </c>
      <c r="BG30" s="7">
        <v>7676</v>
      </c>
      <c r="BH30" s="7">
        <v>6349</v>
      </c>
      <c r="BI30" s="7">
        <v>6298</v>
      </c>
      <c r="BJ30" s="7">
        <v>4388</v>
      </c>
      <c r="BK30" s="7">
        <v>4799</v>
      </c>
      <c r="BL30" s="7">
        <v>3330</v>
      </c>
      <c r="BM30" s="7">
        <v>3829</v>
      </c>
      <c r="BN30" s="7">
        <v>2987</v>
      </c>
      <c r="BO30" s="7">
        <v>3275</v>
      </c>
      <c r="BP30" s="7">
        <v>2700</v>
      </c>
      <c r="BQ30" s="7">
        <v>3061</v>
      </c>
      <c r="BR30" s="7">
        <v>2113</v>
      </c>
      <c r="BS30" s="7">
        <v>2089</v>
      </c>
      <c r="BT30" s="7">
        <v>1819</v>
      </c>
      <c r="BU30" s="7">
        <v>1811</v>
      </c>
      <c r="BV30" s="7">
        <v>1277</v>
      </c>
      <c r="BW30" s="7">
        <v>1278</v>
      </c>
      <c r="BX30" s="7">
        <v>929</v>
      </c>
      <c r="BY30" s="7">
        <v>973</v>
      </c>
      <c r="BZ30" s="7">
        <v>860</v>
      </c>
      <c r="CA30" s="7">
        <v>808</v>
      </c>
      <c r="CB30" s="7">
        <v>1755</v>
      </c>
      <c r="CC30" s="7">
        <v>1492</v>
      </c>
      <c r="CD30" s="7">
        <v>30019</v>
      </c>
      <c r="CE30" s="7">
        <v>20952</v>
      </c>
      <c r="CF30" s="7">
        <v>17434</v>
      </c>
      <c r="CG30" s="7">
        <v>27479</v>
      </c>
      <c r="CH30" s="7">
        <v>17198</v>
      </c>
      <c r="CI30" s="7">
        <v>1994</v>
      </c>
      <c r="CJ30" s="7">
        <v>100696</v>
      </c>
      <c r="CK30" s="7">
        <v>8610</v>
      </c>
      <c r="CL30" s="7">
        <v>481</v>
      </c>
      <c r="CM30" s="7">
        <v>1563</v>
      </c>
      <c r="CN30" s="7">
        <v>2287</v>
      </c>
      <c r="CO30" s="7">
        <v>2786</v>
      </c>
      <c r="CP30" s="7">
        <v>2742</v>
      </c>
      <c r="CQ30" s="7">
        <v>9333</v>
      </c>
      <c r="CR30" s="7">
        <v>16554</v>
      </c>
      <c r="CS30" s="7">
        <v>65425</v>
      </c>
      <c r="CT30" s="7">
        <v>3130</v>
      </c>
      <c r="CU30" s="7">
        <v>1336</v>
      </c>
      <c r="CV30" s="7">
        <v>711</v>
      </c>
      <c r="CW30" s="7">
        <v>2116</v>
      </c>
      <c r="CX30" s="7">
        <v>57</v>
      </c>
      <c r="CY30" s="7">
        <v>79727</v>
      </c>
      <c r="CZ30" s="7">
        <v>23831</v>
      </c>
      <c r="DA30" s="7">
        <v>209</v>
      </c>
      <c r="DB30" s="7">
        <v>481</v>
      </c>
      <c r="DC30" s="7">
        <v>15</v>
      </c>
      <c r="DD30" s="7">
        <v>44625</v>
      </c>
      <c r="DE30" s="7">
        <v>24532</v>
      </c>
      <c r="DF30" s="7">
        <v>24569</v>
      </c>
      <c r="DG30" s="7">
        <v>5397</v>
      </c>
      <c r="DH30" s="7">
        <v>12431</v>
      </c>
      <c r="DI30" s="7">
        <v>0</v>
      </c>
      <c r="DJ30" s="7">
        <v>0</v>
      </c>
      <c r="DK30" s="7">
        <v>0</v>
      </c>
      <c r="DL30" s="7">
        <v>514</v>
      </c>
      <c r="DM30" s="7">
        <v>72</v>
      </c>
      <c r="DN30" s="7">
        <v>28</v>
      </c>
      <c r="DO30" s="7">
        <v>2</v>
      </c>
      <c r="DP30" s="7">
        <v>2</v>
      </c>
      <c r="DQ30" s="7">
        <v>0</v>
      </c>
      <c r="DR30" s="7">
        <v>0</v>
      </c>
      <c r="DS30" s="7">
        <v>0</v>
      </c>
      <c r="DT30" s="7">
        <v>531</v>
      </c>
      <c r="DU30" s="7">
        <v>614</v>
      </c>
      <c r="DV30" s="7">
        <v>317</v>
      </c>
      <c r="DW30" s="7">
        <v>290</v>
      </c>
      <c r="DX30" s="7">
        <v>113</v>
      </c>
      <c r="DY30" s="7">
        <v>87</v>
      </c>
      <c r="DZ30" s="7">
        <v>125</v>
      </c>
      <c r="EA30" s="7">
        <v>115</v>
      </c>
      <c r="EB30" s="7">
        <v>17</v>
      </c>
      <c r="EC30" s="7">
        <v>22</v>
      </c>
      <c r="ED30" s="7">
        <v>13</v>
      </c>
      <c r="EE30" s="7">
        <v>11</v>
      </c>
      <c r="EF30" s="7">
        <v>112</v>
      </c>
      <c r="EG30" s="7">
        <v>118</v>
      </c>
      <c r="EH30" s="7">
        <v>730</v>
      </c>
      <c r="EI30" s="7">
        <v>370</v>
      </c>
      <c r="EJ30" s="7">
        <v>107</v>
      </c>
      <c r="EK30" s="7">
        <v>141</v>
      </c>
      <c r="EL30" s="7">
        <v>27</v>
      </c>
      <c r="EM30" s="7">
        <v>12</v>
      </c>
      <c r="EN30" s="7">
        <v>133</v>
      </c>
      <c r="EO30" s="7">
        <v>23510</v>
      </c>
      <c r="EP30" s="7">
        <v>22907</v>
      </c>
      <c r="EQ30" s="7">
        <v>603</v>
      </c>
      <c r="ER30" s="7">
        <v>10395</v>
      </c>
      <c r="ES30" s="7">
        <v>3204</v>
      </c>
      <c r="ET30" s="7">
        <v>3100</v>
      </c>
      <c r="EU30" s="7">
        <v>104</v>
      </c>
      <c r="EV30" s="7">
        <v>31958</v>
      </c>
      <c r="EW30" s="134">
        <v>85.498326730000002</v>
      </c>
      <c r="EX30" s="134">
        <v>3.4965572951000001</v>
      </c>
      <c r="EY30" s="134">
        <v>2.5002884947999999</v>
      </c>
      <c r="EZ30" s="134">
        <v>7.6701157825999999</v>
      </c>
      <c r="FA30" s="134">
        <v>0.83471169749999996</v>
      </c>
      <c r="FB30" s="7">
        <v>6534</v>
      </c>
      <c r="FC30" s="7">
        <v>11853</v>
      </c>
      <c r="FD30" s="7">
        <v>970</v>
      </c>
      <c r="FE30" s="7">
        <v>3868</v>
      </c>
      <c r="FF30" s="7">
        <v>4</v>
      </c>
      <c r="FG30" s="7">
        <v>2797</v>
      </c>
      <c r="FH30" s="7">
        <v>638</v>
      </c>
      <c r="FI30" s="134">
        <v>87.290841251000003</v>
      </c>
      <c r="FJ30" s="134">
        <v>4.3851213602000003</v>
      </c>
      <c r="FK30" s="134">
        <v>5.5929530329999997</v>
      </c>
      <c r="FL30" s="134">
        <v>2.7310843559000002</v>
      </c>
      <c r="FM30" s="151">
        <v>33157</v>
      </c>
      <c r="FN30" s="151">
        <v>20135</v>
      </c>
      <c r="FO30" s="7">
        <v>5731</v>
      </c>
      <c r="FP30" s="7">
        <v>283</v>
      </c>
      <c r="FQ30" s="7">
        <v>44</v>
      </c>
      <c r="FR30" s="7">
        <v>9</v>
      </c>
      <c r="FS30" s="7">
        <v>26183</v>
      </c>
      <c r="FT30" s="7">
        <v>530</v>
      </c>
      <c r="FU30" s="7">
        <v>519</v>
      </c>
      <c r="FV30" s="7">
        <v>1913</v>
      </c>
      <c r="FW30" s="7">
        <v>35040</v>
      </c>
      <c r="FX30" s="7">
        <v>19404</v>
      </c>
      <c r="FY30" s="7">
        <v>5936</v>
      </c>
      <c r="FZ30" s="7">
        <v>276</v>
      </c>
      <c r="GA30" s="7">
        <v>48</v>
      </c>
      <c r="GB30" s="7">
        <v>6</v>
      </c>
      <c r="GC30" s="7">
        <v>27904</v>
      </c>
      <c r="GD30" s="7">
        <v>514</v>
      </c>
      <c r="GE30" s="7">
        <v>498</v>
      </c>
      <c r="GF30" s="7">
        <v>1905</v>
      </c>
      <c r="GG30" s="7">
        <v>4473</v>
      </c>
      <c r="GH30" s="7">
        <v>5219</v>
      </c>
      <c r="GI30" s="7">
        <v>5427</v>
      </c>
      <c r="GJ30" s="7">
        <v>3988</v>
      </c>
      <c r="GK30" s="7">
        <v>2473</v>
      </c>
      <c r="GL30" s="7">
        <v>1994</v>
      </c>
      <c r="GM30" s="7">
        <v>1927</v>
      </c>
      <c r="GN30" s="7">
        <v>1815</v>
      </c>
      <c r="GO30" s="7">
        <v>1448</v>
      </c>
      <c r="GP30" s="7">
        <v>1222</v>
      </c>
      <c r="GQ30" s="7">
        <v>831</v>
      </c>
      <c r="GR30" s="7">
        <v>614</v>
      </c>
      <c r="GS30" s="7">
        <v>517</v>
      </c>
      <c r="GT30" s="7">
        <v>367</v>
      </c>
      <c r="GU30" s="7">
        <v>416</v>
      </c>
      <c r="GV30" s="7">
        <v>179</v>
      </c>
      <c r="GW30" s="7">
        <v>124</v>
      </c>
      <c r="GX30" s="7">
        <v>110</v>
      </c>
      <c r="GY30" s="7">
        <v>4368</v>
      </c>
      <c r="GZ30" s="7">
        <v>5215</v>
      </c>
      <c r="HA30" s="7">
        <v>5117</v>
      </c>
      <c r="HB30" s="7">
        <v>3926</v>
      </c>
      <c r="HC30" s="7">
        <v>2953</v>
      </c>
      <c r="HD30" s="7">
        <v>2670</v>
      </c>
      <c r="HE30" s="7">
        <v>2380</v>
      </c>
      <c r="HF30" s="7">
        <v>2277</v>
      </c>
      <c r="HG30" s="7">
        <v>1526</v>
      </c>
      <c r="HH30" s="7">
        <v>1335</v>
      </c>
      <c r="HI30" s="7">
        <v>922</v>
      </c>
      <c r="HJ30" s="7">
        <v>699</v>
      </c>
      <c r="HK30" s="7">
        <v>564</v>
      </c>
      <c r="HL30" s="7">
        <v>400</v>
      </c>
      <c r="HM30" s="7">
        <v>353</v>
      </c>
      <c r="HN30" s="7">
        <v>130</v>
      </c>
      <c r="HO30" s="7">
        <v>105</v>
      </c>
      <c r="HP30" s="7">
        <v>84</v>
      </c>
      <c r="HQ30" s="7">
        <v>19016</v>
      </c>
      <c r="HR30" s="7">
        <v>8</v>
      </c>
      <c r="HS30" s="7">
        <v>8</v>
      </c>
      <c r="HT30" s="7">
        <v>0</v>
      </c>
      <c r="HU30" s="7">
        <v>2</v>
      </c>
      <c r="HV30" s="7">
        <v>3</v>
      </c>
      <c r="HW30" s="7">
        <v>0</v>
      </c>
      <c r="HX30" s="7">
        <v>884</v>
      </c>
      <c r="HY30" s="7">
        <v>481</v>
      </c>
      <c r="HZ30" s="7">
        <v>1563</v>
      </c>
      <c r="IA30" s="7">
        <v>2285</v>
      </c>
      <c r="IB30" s="7">
        <v>2786</v>
      </c>
      <c r="IC30" s="7">
        <v>2742</v>
      </c>
      <c r="ID30" s="7">
        <v>2794</v>
      </c>
      <c r="IE30" s="7">
        <v>1949</v>
      </c>
      <c r="IF30" s="7">
        <v>1645</v>
      </c>
      <c r="IG30" s="7">
        <v>2942</v>
      </c>
      <c r="IH30" s="7">
        <v>1547</v>
      </c>
      <c r="II30" s="7">
        <v>10470</v>
      </c>
      <c r="IJ30" s="7">
        <v>4466</v>
      </c>
      <c r="IK30" s="7">
        <v>1452</v>
      </c>
      <c r="IL30" s="7">
        <v>674</v>
      </c>
      <c r="IM30" s="7">
        <v>194</v>
      </c>
      <c r="IN30" s="7">
        <v>75</v>
      </c>
      <c r="IO30" s="7">
        <v>23</v>
      </c>
      <c r="IP30" s="7">
        <v>36</v>
      </c>
      <c r="IQ30" s="7">
        <v>12322</v>
      </c>
      <c r="IR30" s="7">
        <v>4607</v>
      </c>
      <c r="IS30" s="7">
        <v>1246</v>
      </c>
      <c r="IT30" s="7">
        <v>589</v>
      </c>
      <c r="IU30" s="7">
        <v>196</v>
      </c>
      <c r="IV30" s="7">
        <v>3380</v>
      </c>
      <c r="IW30" s="7">
        <v>11724</v>
      </c>
      <c r="IX30" s="7">
        <v>229</v>
      </c>
      <c r="IY30" s="7">
        <v>282</v>
      </c>
      <c r="IZ30" s="7">
        <v>8</v>
      </c>
      <c r="JA30" s="7">
        <v>3432</v>
      </c>
      <c r="JB30" s="7">
        <v>3634</v>
      </c>
      <c r="JC30" s="7">
        <v>5769</v>
      </c>
      <c r="JD30" s="7">
        <v>425</v>
      </c>
      <c r="JE30" s="7">
        <v>477</v>
      </c>
      <c r="JF30" s="151">
        <v>14350.543614717435</v>
      </c>
      <c r="JG30" s="151">
        <v>4713.2823471036418</v>
      </c>
      <c r="JH30" s="7">
        <v>5998</v>
      </c>
      <c r="JI30" s="7">
        <v>12862</v>
      </c>
      <c r="JJ30" s="7">
        <v>176</v>
      </c>
      <c r="JK30" s="7">
        <v>151</v>
      </c>
      <c r="JL30" s="7">
        <v>2753</v>
      </c>
      <c r="JM30" s="7">
        <v>544</v>
      </c>
      <c r="JN30" s="7">
        <v>841</v>
      </c>
      <c r="JO30" s="7">
        <v>8690</v>
      </c>
      <c r="JP30" s="7">
        <v>7578</v>
      </c>
      <c r="JQ30" s="7">
        <v>332</v>
      </c>
      <c r="JR30" s="7">
        <v>309</v>
      </c>
      <c r="JS30" s="7">
        <v>1885</v>
      </c>
      <c r="JT30" s="7">
        <v>123</v>
      </c>
      <c r="JU30" s="151">
        <v>2438.81283718036</v>
      </c>
      <c r="JV30" s="151">
        <v>6522.8147517098905</v>
      </c>
      <c r="JW30" s="151">
        <v>5247.2225802113071</v>
      </c>
      <c r="JX30" s="151">
        <v>141.69344561587837</v>
      </c>
      <c r="JY30" s="7">
        <v>16047</v>
      </c>
      <c r="JZ30" s="7">
        <v>108352</v>
      </c>
      <c r="KA30" s="7">
        <v>62</v>
      </c>
      <c r="KB30" s="7">
        <v>35</v>
      </c>
      <c r="KC30" s="7">
        <v>0</v>
      </c>
      <c r="KD30" s="7">
        <v>11</v>
      </c>
      <c r="KE30" s="7">
        <v>21</v>
      </c>
      <c r="KF30" s="7">
        <v>0</v>
      </c>
      <c r="KG30" s="7">
        <v>3012</v>
      </c>
      <c r="KH30" s="7">
        <v>33172</v>
      </c>
      <c r="KI30" s="7">
        <v>74519</v>
      </c>
      <c r="KJ30" s="7">
        <v>788</v>
      </c>
      <c r="KK30" s="7">
        <v>795</v>
      </c>
      <c r="KL30" s="7">
        <v>13890</v>
      </c>
      <c r="KM30" s="7">
        <v>37150</v>
      </c>
      <c r="KN30" s="7">
        <v>29885</v>
      </c>
      <c r="KO30" s="7">
        <v>807</v>
      </c>
      <c r="KP30" s="7">
        <v>81732</v>
      </c>
      <c r="KQ30" s="7">
        <v>26844</v>
      </c>
      <c r="KR30" s="7">
        <v>20270</v>
      </c>
      <c r="KS30" s="7">
        <v>20270</v>
      </c>
      <c r="KT30" s="7">
        <v>3871</v>
      </c>
      <c r="KU30" s="7">
        <v>1259</v>
      </c>
      <c r="KV30" s="7">
        <v>3490</v>
      </c>
      <c r="KW30" s="7">
        <v>5</v>
      </c>
      <c r="KX30" s="7">
        <v>4020</v>
      </c>
      <c r="KY30" s="7">
        <v>1090</v>
      </c>
      <c r="KZ30" s="7">
        <v>2800</v>
      </c>
      <c r="LA30" s="7">
        <v>2</v>
      </c>
      <c r="LB30" s="7">
        <v>10455</v>
      </c>
      <c r="LC30" s="7">
        <v>10086</v>
      </c>
      <c r="LD30" s="7">
        <v>6160</v>
      </c>
      <c r="LE30" s="7">
        <v>13795</v>
      </c>
      <c r="LF30" s="7">
        <v>60109</v>
      </c>
      <c r="LG30" s="7">
        <v>149</v>
      </c>
      <c r="LH30" s="7">
        <v>11299</v>
      </c>
      <c r="LI30" s="7">
        <v>2326</v>
      </c>
      <c r="LJ30" s="7">
        <v>4380</v>
      </c>
      <c r="LK30" s="7">
        <v>6</v>
      </c>
      <c r="LL30" s="7">
        <v>4421</v>
      </c>
      <c r="LM30" s="7">
        <v>714</v>
      </c>
      <c r="LN30" s="7">
        <v>152</v>
      </c>
      <c r="LO30" s="7">
        <v>10851</v>
      </c>
      <c r="LP30" s="7">
        <v>1764</v>
      </c>
      <c r="LQ30" s="7">
        <v>2794</v>
      </c>
      <c r="LR30" s="7">
        <v>11</v>
      </c>
      <c r="LS30" s="7">
        <v>2399</v>
      </c>
      <c r="LT30" s="7">
        <v>328</v>
      </c>
      <c r="LU30" s="232">
        <v>4.7360538310999996</v>
      </c>
      <c r="LV30" s="232">
        <v>5.7762125106999997</v>
      </c>
      <c r="LW30" s="232">
        <v>3.7480791770000002</v>
      </c>
      <c r="LX30" s="7">
        <v>19187</v>
      </c>
      <c r="LY30" s="7">
        <v>109274</v>
      </c>
    </row>
    <row r="31" spans="1:337" x14ac:dyDescent="0.25">
      <c r="A31" t="s">
        <v>70</v>
      </c>
      <c r="B31" t="s">
        <v>71</v>
      </c>
      <c r="C31" s="7">
        <v>64013</v>
      </c>
      <c r="D31">
        <v>78114</v>
      </c>
      <c r="F31">
        <f t="shared" si="0"/>
        <v>-78114</v>
      </c>
      <c r="G31">
        <f t="shared" si="1"/>
        <v>-100</v>
      </c>
      <c r="H31">
        <v>39239</v>
      </c>
      <c r="I31">
        <v>38875</v>
      </c>
      <c r="J31">
        <v>45469</v>
      </c>
      <c r="K31">
        <v>32645</v>
      </c>
      <c r="L31" s="7">
        <v>3900</v>
      </c>
      <c r="M31" s="7">
        <v>4070</v>
      </c>
      <c r="N31" s="7">
        <v>4136</v>
      </c>
      <c r="O31" s="7">
        <v>4188</v>
      </c>
      <c r="P31" s="7">
        <v>3673</v>
      </c>
      <c r="Q31" s="7">
        <v>2968</v>
      </c>
      <c r="R31" s="7">
        <v>2764</v>
      </c>
      <c r="S31" s="7">
        <v>2703</v>
      </c>
      <c r="T31" s="7">
        <v>2275</v>
      </c>
      <c r="U31" s="7">
        <v>1990</v>
      </c>
      <c r="V31" s="7">
        <v>1612</v>
      </c>
      <c r="W31" s="7">
        <v>1275</v>
      </c>
      <c r="X31" s="7">
        <v>1083</v>
      </c>
      <c r="Y31" s="7">
        <v>2349</v>
      </c>
      <c r="Z31" s="7">
        <v>253</v>
      </c>
      <c r="AA31" s="7">
        <v>3843</v>
      </c>
      <c r="AB31" s="7">
        <v>3913</v>
      </c>
      <c r="AC31" s="7">
        <v>3904</v>
      </c>
      <c r="AD31" s="7">
        <v>4129</v>
      </c>
      <c r="AE31" s="7">
        <v>3685</v>
      </c>
      <c r="AF31" s="7">
        <v>2953</v>
      </c>
      <c r="AG31" s="7">
        <v>2871</v>
      </c>
      <c r="AH31" s="7">
        <v>2727</v>
      </c>
      <c r="AI31" s="7">
        <v>2334</v>
      </c>
      <c r="AJ31" s="7">
        <v>1855</v>
      </c>
      <c r="AK31" s="7">
        <v>1588</v>
      </c>
      <c r="AL31" s="7">
        <v>1224</v>
      </c>
      <c r="AM31" s="7">
        <v>1122</v>
      </c>
      <c r="AN31" s="7">
        <v>2470</v>
      </c>
      <c r="AO31" s="7">
        <v>257</v>
      </c>
      <c r="AP31">
        <v>75299</v>
      </c>
      <c r="AQ31">
        <v>2029</v>
      </c>
      <c r="AR31">
        <v>39</v>
      </c>
      <c r="AS31">
        <v>86</v>
      </c>
      <c r="AT31">
        <v>661</v>
      </c>
      <c r="AU31" s="7">
        <v>4917</v>
      </c>
      <c r="AV31" s="7">
        <v>2608</v>
      </c>
      <c r="AW31" s="7">
        <v>2309</v>
      </c>
      <c r="AX31" s="7">
        <v>3351</v>
      </c>
      <c r="AY31" s="7">
        <v>4917</v>
      </c>
      <c r="AZ31" s="7">
        <v>4650</v>
      </c>
      <c r="BA31" s="7">
        <v>267</v>
      </c>
      <c r="BB31" s="7">
        <v>143</v>
      </c>
      <c r="BC31" s="7">
        <v>148</v>
      </c>
      <c r="BD31" s="7">
        <v>366</v>
      </c>
      <c r="BE31" s="7">
        <v>385</v>
      </c>
      <c r="BF31" s="7">
        <v>347</v>
      </c>
      <c r="BG31" s="7">
        <v>354</v>
      </c>
      <c r="BH31" s="7">
        <v>314</v>
      </c>
      <c r="BI31" s="7">
        <v>293</v>
      </c>
      <c r="BJ31" s="7">
        <v>249</v>
      </c>
      <c r="BK31" s="7">
        <v>249</v>
      </c>
      <c r="BL31" s="7">
        <v>217</v>
      </c>
      <c r="BM31" s="7">
        <v>172</v>
      </c>
      <c r="BN31" s="7">
        <v>215</v>
      </c>
      <c r="BO31" s="7">
        <v>163</v>
      </c>
      <c r="BP31" s="7">
        <v>198</v>
      </c>
      <c r="BQ31" s="7">
        <v>125</v>
      </c>
      <c r="BR31" s="7">
        <v>140</v>
      </c>
      <c r="BS31" s="7">
        <v>111</v>
      </c>
      <c r="BT31" s="7">
        <v>120</v>
      </c>
      <c r="BU31" s="7">
        <v>95</v>
      </c>
      <c r="BV31" s="7">
        <v>84</v>
      </c>
      <c r="BW31" s="7">
        <v>51</v>
      </c>
      <c r="BX31" s="7">
        <v>72</v>
      </c>
      <c r="BY31" s="7">
        <v>53</v>
      </c>
      <c r="BZ31" s="7">
        <v>51</v>
      </c>
      <c r="CA31" s="7">
        <v>43</v>
      </c>
      <c r="CB31" s="7">
        <v>92</v>
      </c>
      <c r="CC31" s="7">
        <v>67</v>
      </c>
      <c r="CD31" s="7">
        <v>2336</v>
      </c>
      <c r="CE31" s="7">
        <v>1978</v>
      </c>
      <c r="CF31" s="7">
        <v>189</v>
      </c>
      <c r="CG31" s="7">
        <v>262</v>
      </c>
      <c r="CH31" s="7">
        <v>13847</v>
      </c>
      <c r="CI31" s="7">
        <v>3847</v>
      </c>
      <c r="CJ31" s="7">
        <v>61370</v>
      </c>
      <c r="CK31" s="7">
        <v>14004</v>
      </c>
      <c r="CL31" s="7">
        <v>1166</v>
      </c>
      <c r="CM31" s="7">
        <v>2359</v>
      </c>
      <c r="CN31" s="7">
        <v>3048</v>
      </c>
      <c r="CO31" s="7">
        <v>3933</v>
      </c>
      <c r="CP31" s="7">
        <v>3263</v>
      </c>
      <c r="CQ31" s="7">
        <v>3925</v>
      </c>
      <c r="CR31" s="7">
        <v>13161</v>
      </c>
      <c r="CS31" s="7">
        <v>33538</v>
      </c>
      <c r="CT31" s="7">
        <v>6047</v>
      </c>
      <c r="CU31" s="7">
        <v>1898</v>
      </c>
      <c r="CV31" s="7">
        <v>653</v>
      </c>
      <c r="CW31" s="7">
        <v>1868</v>
      </c>
      <c r="CX31" s="7">
        <v>273</v>
      </c>
      <c r="CY31" s="7">
        <v>45768</v>
      </c>
      <c r="CZ31" s="7">
        <v>26333</v>
      </c>
      <c r="DA31" s="7">
        <v>816</v>
      </c>
      <c r="DB31" s="7">
        <v>1166</v>
      </c>
      <c r="DC31" s="7">
        <v>85</v>
      </c>
      <c r="DD31" s="7">
        <v>10045</v>
      </c>
      <c r="DE31" s="7">
        <v>5442</v>
      </c>
      <c r="DF31" s="7">
        <v>17158</v>
      </c>
      <c r="DG31" s="7">
        <v>3002</v>
      </c>
      <c r="DH31" s="7">
        <v>0</v>
      </c>
      <c r="DI31" s="7">
        <v>42467</v>
      </c>
      <c r="DJ31" s="7">
        <v>0</v>
      </c>
      <c r="DK31" s="7">
        <v>0</v>
      </c>
      <c r="DL31" s="7">
        <v>542</v>
      </c>
      <c r="DM31" s="7">
        <v>15</v>
      </c>
      <c r="DN31" s="7">
        <v>14</v>
      </c>
      <c r="DO31" s="7">
        <v>1</v>
      </c>
      <c r="DP31" s="7">
        <v>0</v>
      </c>
      <c r="DQ31" s="7">
        <v>1</v>
      </c>
      <c r="DR31" s="7">
        <v>0</v>
      </c>
      <c r="DS31" s="7">
        <v>0</v>
      </c>
      <c r="DT31" s="7">
        <v>716</v>
      </c>
      <c r="DU31" s="7">
        <v>658</v>
      </c>
      <c r="DV31" s="7">
        <v>391</v>
      </c>
      <c r="DW31" s="7">
        <v>373</v>
      </c>
      <c r="DX31" s="7">
        <v>148</v>
      </c>
      <c r="DY31" s="7">
        <v>95</v>
      </c>
      <c r="DZ31" s="7">
        <v>127</v>
      </c>
      <c r="EA31" s="7">
        <v>93</v>
      </c>
      <c r="EB31" s="7">
        <v>51</v>
      </c>
      <c r="EC31" s="7">
        <v>48</v>
      </c>
      <c r="ED31" s="7">
        <v>43</v>
      </c>
      <c r="EE31" s="7">
        <v>25</v>
      </c>
      <c r="EF31" s="7">
        <v>144</v>
      </c>
      <c r="EG31" s="7">
        <v>107</v>
      </c>
      <c r="EH31" s="7">
        <v>812</v>
      </c>
      <c r="EI31" s="7">
        <v>408</v>
      </c>
      <c r="EJ31" s="7">
        <v>121</v>
      </c>
      <c r="EK31" s="7">
        <v>98</v>
      </c>
      <c r="EL31" s="7">
        <v>62</v>
      </c>
      <c r="EM31" s="7">
        <v>36</v>
      </c>
      <c r="EN31" s="7">
        <v>90</v>
      </c>
      <c r="EO31" s="7">
        <v>22434</v>
      </c>
      <c r="EP31" s="7">
        <v>21860</v>
      </c>
      <c r="EQ31" s="7">
        <v>574</v>
      </c>
      <c r="ER31" s="7">
        <v>6744</v>
      </c>
      <c r="ES31" s="7">
        <v>5984</v>
      </c>
      <c r="ET31" s="7">
        <v>5865</v>
      </c>
      <c r="EU31" s="7">
        <v>119</v>
      </c>
      <c r="EV31" s="7">
        <v>23190</v>
      </c>
      <c r="EW31" s="134">
        <v>37.454926137000001</v>
      </c>
      <c r="EX31" s="134">
        <v>16.656973362999999</v>
      </c>
      <c r="EY31" s="134">
        <v>15.513163507</v>
      </c>
      <c r="EZ31" s="134">
        <v>29.735178938000001</v>
      </c>
      <c r="FA31" s="134">
        <v>0.63975805509999994</v>
      </c>
      <c r="FB31" s="7">
        <v>3023</v>
      </c>
      <c r="FC31" s="7">
        <v>11355</v>
      </c>
      <c r="FD31" s="7">
        <v>1092</v>
      </c>
      <c r="FE31" s="7">
        <v>5190</v>
      </c>
      <c r="FF31" s="7">
        <v>34</v>
      </c>
      <c r="FG31" s="7">
        <v>4026</v>
      </c>
      <c r="FH31" s="7">
        <v>3527</v>
      </c>
      <c r="FI31" s="134">
        <v>45.66321585</v>
      </c>
      <c r="FJ31" s="134">
        <v>26.582916521000001</v>
      </c>
      <c r="FK31" s="134">
        <v>22.310108177</v>
      </c>
      <c r="FL31" s="134">
        <v>5.443759451</v>
      </c>
      <c r="FM31" s="151">
        <v>19491</v>
      </c>
      <c r="FN31" s="151">
        <v>19420</v>
      </c>
      <c r="FO31" s="7">
        <v>3679</v>
      </c>
      <c r="FP31" s="7">
        <v>1795</v>
      </c>
      <c r="FQ31" s="7">
        <v>731</v>
      </c>
      <c r="FR31" s="7">
        <v>183</v>
      </c>
      <c r="FS31" s="7">
        <v>12783</v>
      </c>
      <c r="FT31" s="7">
        <v>41</v>
      </c>
      <c r="FU31" s="7">
        <v>369</v>
      </c>
      <c r="FV31" s="7">
        <v>328</v>
      </c>
      <c r="FW31" s="7">
        <v>21534</v>
      </c>
      <c r="FX31" s="7">
        <v>17000</v>
      </c>
      <c r="FY31" s="7">
        <v>3687</v>
      </c>
      <c r="FZ31" s="7">
        <v>1996</v>
      </c>
      <c r="GA31" s="7">
        <v>857</v>
      </c>
      <c r="GB31" s="7">
        <v>138</v>
      </c>
      <c r="GC31" s="7">
        <v>14596</v>
      </c>
      <c r="GD31" s="7">
        <v>36</v>
      </c>
      <c r="GE31" s="7">
        <v>324</v>
      </c>
      <c r="GF31" s="7">
        <v>341</v>
      </c>
      <c r="GG31" s="7">
        <v>2100</v>
      </c>
      <c r="GH31" s="7">
        <v>2217</v>
      </c>
      <c r="GI31" s="7">
        <v>2385</v>
      </c>
      <c r="GJ31" s="7">
        <v>2193</v>
      </c>
      <c r="GK31" s="7">
        <v>1345</v>
      </c>
      <c r="GL31" s="7">
        <v>1200</v>
      </c>
      <c r="GM31" s="7">
        <v>1228</v>
      </c>
      <c r="GN31" s="7">
        <v>1279</v>
      </c>
      <c r="GO31" s="7">
        <v>1108</v>
      </c>
      <c r="GP31" s="7">
        <v>999</v>
      </c>
      <c r="GQ31" s="7">
        <v>796</v>
      </c>
      <c r="GR31" s="7">
        <v>609</v>
      </c>
      <c r="GS31" s="7">
        <v>551</v>
      </c>
      <c r="GT31" s="7">
        <v>492</v>
      </c>
      <c r="GU31" s="7">
        <v>390</v>
      </c>
      <c r="GV31" s="7">
        <v>304</v>
      </c>
      <c r="GW31" s="7">
        <v>156</v>
      </c>
      <c r="GX31" s="7">
        <v>137</v>
      </c>
      <c r="GY31" s="7">
        <v>2004</v>
      </c>
      <c r="GZ31" s="7">
        <v>2233</v>
      </c>
      <c r="HA31" s="7">
        <v>2270</v>
      </c>
      <c r="HB31" s="7">
        <v>2265</v>
      </c>
      <c r="HC31" s="7">
        <v>1720</v>
      </c>
      <c r="HD31" s="7">
        <v>1542</v>
      </c>
      <c r="HE31" s="7">
        <v>1605</v>
      </c>
      <c r="HF31" s="7">
        <v>1583</v>
      </c>
      <c r="HG31" s="7">
        <v>1290</v>
      </c>
      <c r="HH31" s="7">
        <v>1092</v>
      </c>
      <c r="HI31" s="7">
        <v>908</v>
      </c>
      <c r="HJ31" s="7">
        <v>721</v>
      </c>
      <c r="HK31" s="7">
        <v>675</v>
      </c>
      <c r="HL31" s="7">
        <v>573</v>
      </c>
      <c r="HM31" s="7">
        <v>463</v>
      </c>
      <c r="HN31" s="7">
        <v>302</v>
      </c>
      <c r="HO31" s="7">
        <v>166</v>
      </c>
      <c r="HP31" s="7">
        <v>118</v>
      </c>
      <c r="HQ31" s="7">
        <v>17592</v>
      </c>
      <c r="HR31" s="7">
        <v>5</v>
      </c>
      <c r="HS31" s="7">
        <v>44</v>
      </c>
      <c r="HT31" s="7">
        <v>0</v>
      </c>
      <c r="HU31" s="7">
        <v>0</v>
      </c>
      <c r="HV31" s="7">
        <v>1</v>
      </c>
      <c r="HW31" s="7">
        <v>1</v>
      </c>
      <c r="HX31" s="7">
        <v>214</v>
      </c>
      <c r="HY31" s="7">
        <v>1165</v>
      </c>
      <c r="HZ31" s="7">
        <v>2359</v>
      </c>
      <c r="IA31" s="7">
        <v>3048</v>
      </c>
      <c r="IB31" s="7">
        <v>3933</v>
      </c>
      <c r="IC31" s="7">
        <v>3263</v>
      </c>
      <c r="ID31" s="7">
        <v>1890</v>
      </c>
      <c r="IE31" s="7">
        <v>872</v>
      </c>
      <c r="IF31" s="7">
        <v>498</v>
      </c>
      <c r="IG31" s="7">
        <v>664</v>
      </c>
      <c r="IH31" s="7">
        <v>1548</v>
      </c>
      <c r="II31" s="7">
        <v>3955</v>
      </c>
      <c r="IJ31" s="7">
        <v>5118</v>
      </c>
      <c r="IK31" s="7">
        <v>4198</v>
      </c>
      <c r="IL31" s="7">
        <v>1832</v>
      </c>
      <c r="IM31" s="7">
        <v>651</v>
      </c>
      <c r="IN31" s="7">
        <v>204</v>
      </c>
      <c r="IO31" s="7">
        <v>71</v>
      </c>
      <c r="IP31" s="7">
        <v>65</v>
      </c>
      <c r="IQ31" s="7">
        <v>8084</v>
      </c>
      <c r="IR31" s="7">
        <v>6656</v>
      </c>
      <c r="IS31" s="7">
        <v>2305</v>
      </c>
      <c r="IT31" s="7">
        <v>498</v>
      </c>
      <c r="IU31" s="7">
        <v>106</v>
      </c>
      <c r="IV31" s="7">
        <v>7015</v>
      </c>
      <c r="IW31" s="7">
        <v>6935</v>
      </c>
      <c r="IX31" s="7">
        <v>784</v>
      </c>
      <c r="IY31" s="7">
        <v>590</v>
      </c>
      <c r="IZ31" s="7">
        <v>399</v>
      </c>
      <c r="JA31" s="7">
        <v>1912</v>
      </c>
      <c r="JB31" s="7">
        <v>8929</v>
      </c>
      <c r="JC31" s="7">
        <v>6771</v>
      </c>
      <c r="JD31" s="7">
        <v>119</v>
      </c>
      <c r="JE31" s="7">
        <v>16</v>
      </c>
      <c r="JF31" s="151">
        <v>16152.870679848314</v>
      </c>
      <c r="JG31" s="151">
        <v>1493.0061114655828</v>
      </c>
      <c r="JH31" s="7">
        <v>2406</v>
      </c>
      <c r="JI31" s="7">
        <v>13884</v>
      </c>
      <c r="JJ31" s="7">
        <v>1318</v>
      </c>
      <c r="JK31" s="7">
        <v>84</v>
      </c>
      <c r="JL31" s="7">
        <v>11778</v>
      </c>
      <c r="JM31" s="7">
        <v>7595</v>
      </c>
      <c r="JN31" s="7">
        <v>3571</v>
      </c>
      <c r="JO31" s="7">
        <v>11868</v>
      </c>
      <c r="JP31" s="7">
        <v>15444</v>
      </c>
      <c r="JQ31" s="7">
        <v>1743</v>
      </c>
      <c r="JR31" s="7">
        <v>2463</v>
      </c>
      <c r="JS31" s="7">
        <v>7928</v>
      </c>
      <c r="JT31" s="7">
        <v>846</v>
      </c>
      <c r="JU31" s="151">
        <v>3807.1655842372356</v>
      </c>
      <c r="JV31" s="151">
        <v>11510.466770989295</v>
      </c>
      <c r="JW31" s="151">
        <v>800.73016449828651</v>
      </c>
      <c r="JX31" s="151">
        <v>34.508160123496957</v>
      </c>
      <c r="JY31" s="7">
        <v>17081</v>
      </c>
      <c r="JZ31" s="7">
        <v>75003</v>
      </c>
      <c r="KA31" s="7">
        <v>25</v>
      </c>
      <c r="KB31" s="7">
        <v>147</v>
      </c>
      <c r="KC31" s="7">
        <v>0</v>
      </c>
      <c r="KD31" s="7">
        <v>0</v>
      </c>
      <c r="KE31" s="7">
        <v>8</v>
      </c>
      <c r="KF31" s="7">
        <v>1</v>
      </c>
      <c r="KG31" s="7">
        <v>679</v>
      </c>
      <c r="KH31" s="7">
        <v>11168</v>
      </c>
      <c r="KI31" s="7">
        <v>58558</v>
      </c>
      <c r="KJ31" s="7">
        <v>5270</v>
      </c>
      <c r="KK31" s="7">
        <v>369</v>
      </c>
      <c r="KL31" s="7">
        <v>16218</v>
      </c>
      <c r="KM31" s="7">
        <v>49033</v>
      </c>
      <c r="KN31" s="7">
        <v>3411</v>
      </c>
      <c r="KO31" s="7">
        <v>147</v>
      </c>
      <c r="KP31" s="7">
        <v>68809</v>
      </c>
      <c r="KQ31" s="7">
        <v>6360</v>
      </c>
      <c r="KR31" s="7">
        <v>11776</v>
      </c>
      <c r="KS31" s="7">
        <v>11776</v>
      </c>
      <c r="KT31" s="7">
        <v>2009</v>
      </c>
      <c r="KU31" s="7">
        <v>831</v>
      </c>
      <c r="KV31" s="7">
        <v>2107</v>
      </c>
      <c r="KW31" s="7">
        <v>2</v>
      </c>
      <c r="KX31" s="7">
        <v>1970</v>
      </c>
      <c r="KY31" s="7">
        <v>926</v>
      </c>
      <c r="KZ31" s="7">
        <v>2054</v>
      </c>
      <c r="LA31" s="7">
        <v>3</v>
      </c>
      <c r="LB31" s="7">
        <v>6104</v>
      </c>
      <c r="LC31" s="7">
        <v>5826</v>
      </c>
      <c r="LD31" s="7">
        <v>3165</v>
      </c>
      <c r="LE31" s="7">
        <v>4331</v>
      </c>
      <c r="LF31" s="7">
        <v>53838</v>
      </c>
      <c r="LG31" s="7">
        <v>110</v>
      </c>
      <c r="LH31" s="7">
        <v>10228</v>
      </c>
      <c r="LI31" s="7">
        <v>1501</v>
      </c>
      <c r="LJ31" s="7">
        <v>4727</v>
      </c>
      <c r="LK31" s="7">
        <v>13</v>
      </c>
      <c r="LL31" s="7">
        <v>4318</v>
      </c>
      <c r="LM31" s="7">
        <v>2891</v>
      </c>
      <c r="LN31" s="7">
        <v>116</v>
      </c>
      <c r="LO31" s="7">
        <v>10834</v>
      </c>
      <c r="LP31" s="7">
        <v>1307</v>
      </c>
      <c r="LQ31" s="7">
        <v>4460</v>
      </c>
      <c r="LR31" s="7">
        <v>52</v>
      </c>
      <c r="LS31" s="7">
        <v>3770</v>
      </c>
      <c r="LT31" s="7">
        <v>2352</v>
      </c>
      <c r="LU31" s="232">
        <v>6.8467239568</v>
      </c>
      <c r="LV31" s="232">
        <v>7.1563182057999999</v>
      </c>
      <c r="LW31" s="232">
        <v>6.5388443979000002</v>
      </c>
      <c r="LX31" s="7">
        <v>17692</v>
      </c>
      <c r="LY31" s="7">
        <v>75365</v>
      </c>
    </row>
    <row r="32" spans="1:337" x14ac:dyDescent="0.25">
      <c r="A32" t="s">
        <v>72</v>
      </c>
      <c r="B32" t="s">
        <v>73</v>
      </c>
      <c r="C32" s="7">
        <v>7217</v>
      </c>
      <c r="D32">
        <v>8444</v>
      </c>
      <c r="F32">
        <f t="shared" si="0"/>
        <v>-8444</v>
      </c>
      <c r="G32">
        <f t="shared" si="1"/>
        <v>-100</v>
      </c>
      <c r="H32">
        <v>4200</v>
      </c>
      <c r="I32">
        <v>4244</v>
      </c>
      <c r="J32">
        <v>3187</v>
      </c>
      <c r="K32">
        <v>5257</v>
      </c>
      <c r="L32" s="7">
        <v>533</v>
      </c>
      <c r="M32" s="7">
        <v>501</v>
      </c>
      <c r="N32" s="7">
        <v>533</v>
      </c>
      <c r="O32" s="7">
        <v>480</v>
      </c>
      <c r="P32" s="7">
        <v>352</v>
      </c>
      <c r="Q32" s="7">
        <v>327</v>
      </c>
      <c r="R32" s="7">
        <v>254</v>
      </c>
      <c r="S32" s="7">
        <v>246</v>
      </c>
      <c r="T32" s="7">
        <v>188</v>
      </c>
      <c r="U32" s="7">
        <v>165</v>
      </c>
      <c r="V32" s="7">
        <v>143</v>
      </c>
      <c r="W32" s="7">
        <v>126</v>
      </c>
      <c r="X32" s="7">
        <v>100</v>
      </c>
      <c r="Y32" s="7">
        <v>250</v>
      </c>
      <c r="Z32" s="7">
        <v>2</v>
      </c>
      <c r="AA32" s="7">
        <v>503</v>
      </c>
      <c r="AB32" s="7">
        <v>499</v>
      </c>
      <c r="AC32" s="7">
        <v>553</v>
      </c>
      <c r="AD32" s="7">
        <v>488</v>
      </c>
      <c r="AE32" s="7">
        <v>403</v>
      </c>
      <c r="AF32" s="7">
        <v>308</v>
      </c>
      <c r="AG32" s="7">
        <v>281</v>
      </c>
      <c r="AH32" s="7">
        <v>255</v>
      </c>
      <c r="AI32" s="7">
        <v>173</v>
      </c>
      <c r="AJ32" s="7">
        <v>180</v>
      </c>
      <c r="AK32" s="7">
        <v>150</v>
      </c>
      <c r="AL32" s="7">
        <v>132</v>
      </c>
      <c r="AM32" s="7">
        <v>85</v>
      </c>
      <c r="AN32" s="7">
        <v>231</v>
      </c>
      <c r="AO32" s="7">
        <v>3</v>
      </c>
      <c r="AP32">
        <v>8387</v>
      </c>
      <c r="AQ32">
        <v>32</v>
      </c>
      <c r="AR32">
        <v>8</v>
      </c>
      <c r="AS32">
        <v>1</v>
      </c>
      <c r="AT32">
        <v>16</v>
      </c>
      <c r="AU32" s="7">
        <v>1193</v>
      </c>
      <c r="AV32" s="7">
        <v>612</v>
      </c>
      <c r="AW32" s="7">
        <v>581</v>
      </c>
      <c r="AX32" s="7">
        <v>997</v>
      </c>
      <c r="AY32" s="7">
        <v>1193</v>
      </c>
      <c r="AZ32" s="7">
        <v>1022</v>
      </c>
      <c r="BA32" s="7">
        <v>171</v>
      </c>
      <c r="BB32" s="7">
        <v>29</v>
      </c>
      <c r="BC32" s="7">
        <v>23</v>
      </c>
      <c r="BD32" s="7">
        <v>82</v>
      </c>
      <c r="BE32" s="7">
        <v>87</v>
      </c>
      <c r="BF32" s="7">
        <v>96</v>
      </c>
      <c r="BG32" s="7">
        <v>81</v>
      </c>
      <c r="BH32" s="7">
        <v>70</v>
      </c>
      <c r="BI32" s="7">
        <v>70</v>
      </c>
      <c r="BJ32" s="7">
        <v>54</v>
      </c>
      <c r="BK32" s="7">
        <v>61</v>
      </c>
      <c r="BL32" s="7">
        <v>50</v>
      </c>
      <c r="BM32" s="7">
        <v>43</v>
      </c>
      <c r="BN32" s="7">
        <v>48</v>
      </c>
      <c r="BO32" s="7">
        <v>42</v>
      </c>
      <c r="BP32" s="7">
        <v>41</v>
      </c>
      <c r="BQ32" s="7">
        <v>37</v>
      </c>
      <c r="BR32" s="7">
        <v>28</v>
      </c>
      <c r="BS32" s="7">
        <v>26</v>
      </c>
      <c r="BT32" s="7">
        <v>22</v>
      </c>
      <c r="BU32" s="7">
        <v>25</v>
      </c>
      <c r="BV32" s="7">
        <v>22</v>
      </c>
      <c r="BW32" s="7">
        <v>22</v>
      </c>
      <c r="BX32" s="7">
        <v>21</v>
      </c>
      <c r="BY32" s="7">
        <v>18</v>
      </c>
      <c r="BZ32" s="7">
        <v>20</v>
      </c>
      <c r="CA32" s="7">
        <v>10</v>
      </c>
      <c r="CB32" s="7">
        <v>29</v>
      </c>
      <c r="CC32" s="7">
        <v>36</v>
      </c>
      <c r="CD32" s="7">
        <v>581</v>
      </c>
      <c r="CE32" s="7">
        <v>564</v>
      </c>
      <c r="CF32" s="7">
        <v>5</v>
      </c>
      <c r="CG32" s="7">
        <v>3</v>
      </c>
      <c r="CH32" s="7">
        <v>1617</v>
      </c>
      <c r="CI32" s="7">
        <v>354</v>
      </c>
      <c r="CJ32" s="7">
        <v>7269</v>
      </c>
      <c r="CK32" s="7">
        <v>1175</v>
      </c>
      <c r="CL32" s="7">
        <v>121</v>
      </c>
      <c r="CM32" s="7">
        <v>291</v>
      </c>
      <c r="CN32" s="7">
        <v>328</v>
      </c>
      <c r="CO32" s="7">
        <v>421</v>
      </c>
      <c r="CP32" s="7">
        <v>329</v>
      </c>
      <c r="CQ32" s="7">
        <v>481</v>
      </c>
      <c r="CR32" s="7">
        <v>1577</v>
      </c>
      <c r="CS32" s="7">
        <v>4305</v>
      </c>
      <c r="CT32" s="7">
        <v>261</v>
      </c>
      <c r="CU32" s="7">
        <v>99</v>
      </c>
      <c r="CV32" s="7">
        <v>60</v>
      </c>
      <c r="CW32" s="7">
        <v>144</v>
      </c>
      <c r="CX32" s="7">
        <v>4</v>
      </c>
      <c r="CY32" s="7">
        <v>6354</v>
      </c>
      <c r="CZ32" s="7">
        <v>1833</v>
      </c>
      <c r="DA32" s="7">
        <v>0</v>
      </c>
      <c r="DB32" s="7">
        <v>121</v>
      </c>
      <c r="DC32" s="7">
        <v>6</v>
      </c>
      <c r="DD32" s="7">
        <v>1588</v>
      </c>
      <c r="DE32" s="7">
        <v>274</v>
      </c>
      <c r="DF32" s="7">
        <v>3395</v>
      </c>
      <c r="DG32" s="7">
        <v>3187</v>
      </c>
      <c r="DH32" s="7">
        <v>0</v>
      </c>
      <c r="DI32" s="7">
        <v>0</v>
      </c>
      <c r="DJ32" s="7">
        <v>0</v>
      </c>
      <c r="DK32" s="7">
        <v>0</v>
      </c>
      <c r="DL32" s="7">
        <v>27</v>
      </c>
      <c r="DM32" s="7">
        <v>1</v>
      </c>
      <c r="DN32" s="7">
        <v>4</v>
      </c>
      <c r="DO32" s="7">
        <v>1</v>
      </c>
      <c r="DP32" s="7">
        <v>0</v>
      </c>
      <c r="DQ32" s="7">
        <v>0</v>
      </c>
      <c r="DR32" s="7">
        <v>0</v>
      </c>
      <c r="DS32" s="7">
        <v>0</v>
      </c>
      <c r="DT32" s="7">
        <v>44</v>
      </c>
      <c r="DU32" s="7">
        <v>43</v>
      </c>
      <c r="DV32" s="7">
        <v>19</v>
      </c>
      <c r="DW32" s="7">
        <v>24</v>
      </c>
      <c r="DX32" s="7">
        <v>15</v>
      </c>
      <c r="DY32" s="7">
        <v>12</v>
      </c>
      <c r="DZ32" s="7">
        <v>13</v>
      </c>
      <c r="EA32" s="7">
        <v>14</v>
      </c>
      <c r="EB32" s="7">
        <v>4</v>
      </c>
      <c r="EC32" s="7">
        <v>7</v>
      </c>
      <c r="ED32" s="7">
        <v>1</v>
      </c>
      <c r="EE32" s="7">
        <v>4</v>
      </c>
      <c r="EF32" s="7">
        <v>9</v>
      </c>
      <c r="EG32" s="7">
        <v>9</v>
      </c>
      <c r="EH32" s="7">
        <v>56</v>
      </c>
      <c r="EI32" s="7">
        <v>32</v>
      </c>
      <c r="EJ32" s="7">
        <v>12</v>
      </c>
      <c r="EK32" s="7">
        <v>11</v>
      </c>
      <c r="EL32" s="7">
        <v>5</v>
      </c>
      <c r="EM32" s="7">
        <v>3</v>
      </c>
      <c r="EN32" s="7">
        <v>11</v>
      </c>
      <c r="EO32" s="7">
        <v>2306</v>
      </c>
      <c r="EP32" s="7">
        <v>2290</v>
      </c>
      <c r="EQ32" s="7">
        <v>16</v>
      </c>
      <c r="ER32" s="7">
        <v>627</v>
      </c>
      <c r="ES32" s="7">
        <v>382</v>
      </c>
      <c r="ET32" s="7">
        <v>381</v>
      </c>
      <c r="EU32" s="7">
        <v>1</v>
      </c>
      <c r="EV32" s="7">
        <v>2623</v>
      </c>
      <c r="EW32" s="134">
        <v>61.771058314999998</v>
      </c>
      <c r="EX32" s="134">
        <v>17.062634988999999</v>
      </c>
      <c r="EY32" s="134">
        <v>6.0043196543999997</v>
      </c>
      <c r="EZ32" s="134">
        <v>14.384449244000001</v>
      </c>
      <c r="FA32" s="134">
        <v>0.77753779700000003</v>
      </c>
      <c r="FB32" s="7">
        <v>363</v>
      </c>
      <c r="FC32" s="7">
        <v>1399</v>
      </c>
      <c r="FD32" s="7">
        <v>107</v>
      </c>
      <c r="FE32" s="7">
        <v>481</v>
      </c>
      <c r="FF32" s="7">
        <v>0</v>
      </c>
      <c r="FG32" s="7">
        <v>205</v>
      </c>
      <c r="FH32" s="7">
        <v>132</v>
      </c>
      <c r="FI32" s="134">
        <v>70.410367171000004</v>
      </c>
      <c r="FJ32" s="134">
        <v>14.082073434</v>
      </c>
      <c r="FK32" s="134">
        <v>12.742980562</v>
      </c>
      <c r="FL32" s="134">
        <v>2.7645788336999999</v>
      </c>
      <c r="FM32" s="151">
        <v>2589</v>
      </c>
      <c r="FN32" s="151">
        <v>1606</v>
      </c>
      <c r="FO32" s="7">
        <v>327</v>
      </c>
      <c r="FP32" s="7">
        <v>88</v>
      </c>
      <c r="FQ32" s="7">
        <v>11</v>
      </c>
      <c r="FR32" s="7">
        <v>1</v>
      </c>
      <c r="FS32" s="7">
        <v>2157</v>
      </c>
      <c r="FT32" s="7">
        <v>10</v>
      </c>
      <c r="FU32" s="7">
        <v>19</v>
      </c>
      <c r="FV32" s="7">
        <v>5</v>
      </c>
      <c r="FW32" s="7">
        <v>2825</v>
      </c>
      <c r="FX32" s="7">
        <v>1401</v>
      </c>
      <c r="FY32" s="7">
        <v>345</v>
      </c>
      <c r="FZ32" s="7">
        <v>78</v>
      </c>
      <c r="GA32" s="7">
        <v>11</v>
      </c>
      <c r="GB32" s="7">
        <v>2</v>
      </c>
      <c r="GC32" s="7">
        <v>2397</v>
      </c>
      <c r="GD32" s="7">
        <v>3</v>
      </c>
      <c r="GE32" s="7">
        <v>18</v>
      </c>
      <c r="GF32" s="7">
        <v>18</v>
      </c>
      <c r="GG32" s="7">
        <v>333</v>
      </c>
      <c r="GH32" s="7">
        <v>333</v>
      </c>
      <c r="GI32" s="7">
        <v>361</v>
      </c>
      <c r="GJ32" s="7">
        <v>278</v>
      </c>
      <c r="GK32" s="7">
        <v>162</v>
      </c>
      <c r="GL32" s="7">
        <v>184</v>
      </c>
      <c r="GM32" s="7">
        <v>147</v>
      </c>
      <c r="GN32" s="7">
        <v>157</v>
      </c>
      <c r="GO32" s="7">
        <v>122</v>
      </c>
      <c r="GP32" s="7">
        <v>115</v>
      </c>
      <c r="GQ32" s="7">
        <v>88</v>
      </c>
      <c r="GR32" s="7">
        <v>75</v>
      </c>
      <c r="GS32" s="7">
        <v>65</v>
      </c>
      <c r="GT32" s="7">
        <v>42</v>
      </c>
      <c r="GU32" s="7">
        <v>62</v>
      </c>
      <c r="GV32" s="7">
        <v>28</v>
      </c>
      <c r="GW32" s="7">
        <v>22</v>
      </c>
      <c r="GX32" s="7">
        <v>13</v>
      </c>
      <c r="GY32" s="7">
        <v>307</v>
      </c>
      <c r="GZ32" s="7">
        <v>317</v>
      </c>
      <c r="HA32" s="7">
        <v>372</v>
      </c>
      <c r="HB32" s="7">
        <v>282</v>
      </c>
      <c r="HC32" s="7">
        <v>257</v>
      </c>
      <c r="HD32" s="7">
        <v>224</v>
      </c>
      <c r="HE32" s="7">
        <v>206</v>
      </c>
      <c r="HF32" s="7">
        <v>180</v>
      </c>
      <c r="HG32" s="7">
        <v>125</v>
      </c>
      <c r="HH32" s="7">
        <v>129</v>
      </c>
      <c r="HI32" s="7">
        <v>110</v>
      </c>
      <c r="HJ32" s="7">
        <v>95</v>
      </c>
      <c r="HK32" s="7">
        <v>62</v>
      </c>
      <c r="HL32" s="7">
        <v>58</v>
      </c>
      <c r="HM32" s="7">
        <v>54</v>
      </c>
      <c r="HN32" s="7">
        <v>17</v>
      </c>
      <c r="HO32" s="7">
        <v>18</v>
      </c>
      <c r="HP32" s="7">
        <v>9</v>
      </c>
      <c r="HQ32" s="7">
        <v>1962</v>
      </c>
      <c r="HR32" s="7">
        <v>0</v>
      </c>
      <c r="HS32" s="7">
        <v>0</v>
      </c>
      <c r="HT32" s="7">
        <v>1</v>
      </c>
      <c r="HU32" s="7">
        <v>0</v>
      </c>
      <c r="HV32" s="7">
        <v>0</v>
      </c>
      <c r="HW32" s="7">
        <v>0</v>
      </c>
      <c r="HX32" s="7">
        <v>8</v>
      </c>
      <c r="HY32" s="7">
        <v>121</v>
      </c>
      <c r="HZ32" s="7">
        <v>291</v>
      </c>
      <c r="IA32" s="7">
        <v>328</v>
      </c>
      <c r="IB32" s="7">
        <v>421</v>
      </c>
      <c r="IC32" s="7">
        <v>329</v>
      </c>
      <c r="ID32" s="7">
        <v>226</v>
      </c>
      <c r="IE32" s="7">
        <v>108</v>
      </c>
      <c r="IF32" s="7">
        <v>67</v>
      </c>
      <c r="IG32" s="7">
        <v>80</v>
      </c>
      <c r="IH32" s="7">
        <v>144</v>
      </c>
      <c r="II32" s="7">
        <v>717</v>
      </c>
      <c r="IJ32" s="7">
        <v>599</v>
      </c>
      <c r="IK32" s="7">
        <v>369</v>
      </c>
      <c r="IL32" s="7">
        <v>98</v>
      </c>
      <c r="IM32" s="7">
        <v>18</v>
      </c>
      <c r="IN32" s="7">
        <v>7</v>
      </c>
      <c r="IO32" s="7">
        <v>2</v>
      </c>
      <c r="IP32" s="7">
        <v>4</v>
      </c>
      <c r="IQ32" s="7">
        <v>1057</v>
      </c>
      <c r="IR32" s="7">
        <v>672</v>
      </c>
      <c r="IS32" s="7">
        <v>186</v>
      </c>
      <c r="IT32" s="7">
        <v>38</v>
      </c>
      <c r="IU32" s="7">
        <v>7</v>
      </c>
      <c r="IV32" s="7">
        <v>769</v>
      </c>
      <c r="IW32" s="7">
        <v>1120</v>
      </c>
      <c r="IX32" s="7">
        <v>5</v>
      </c>
      <c r="IY32" s="7">
        <v>44</v>
      </c>
      <c r="IZ32" s="7">
        <v>0</v>
      </c>
      <c r="JA32" s="7">
        <v>23</v>
      </c>
      <c r="JB32" s="7">
        <v>1439</v>
      </c>
      <c r="JC32" s="7">
        <v>170</v>
      </c>
      <c r="JD32" s="7">
        <v>117</v>
      </c>
      <c r="JE32" s="7">
        <v>5</v>
      </c>
      <c r="JF32" s="151">
        <v>1761.1551497156943</v>
      </c>
      <c r="JG32" s="151">
        <v>199.10740128661197</v>
      </c>
      <c r="JH32" s="7">
        <v>236</v>
      </c>
      <c r="JI32" s="7">
        <v>1620</v>
      </c>
      <c r="JJ32" s="7">
        <v>109</v>
      </c>
      <c r="JK32" s="7">
        <v>6</v>
      </c>
      <c r="JL32" s="7">
        <v>705</v>
      </c>
      <c r="JM32" s="7">
        <v>304</v>
      </c>
      <c r="JN32" s="7">
        <v>135</v>
      </c>
      <c r="JO32" s="7">
        <v>1063</v>
      </c>
      <c r="JP32" s="7">
        <v>1336</v>
      </c>
      <c r="JQ32" s="7">
        <v>86</v>
      </c>
      <c r="JR32" s="7">
        <v>122</v>
      </c>
      <c r="JS32" s="7">
        <v>504</v>
      </c>
      <c r="JT32" s="7">
        <v>22</v>
      </c>
      <c r="JU32" s="151">
        <v>169.46304025097336</v>
      </c>
      <c r="JV32" s="151">
        <v>1504.6263876828848</v>
      </c>
      <c r="JW32" s="151">
        <v>74.927873168818806</v>
      </c>
      <c r="JX32" s="151">
        <v>12.137848613017377</v>
      </c>
      <c r="JY32" s="7">
        <v>1878</v>
      </c>
      <c r="JZ32" s="7">
        <v>8407</v>
      </c>
      <c r="KA32" s="7">
        <v>0</v>
      </c>
      <c r="KB32" s="7">
        <v>0</v>
      </c>
      <c r="KC32" s="7">
        <v>3</v>
      </c>
      <c r="KD32" s="7">
        <v>0</v>
      </c>
      <c r="KE32" s="7">
        <v>0</v>
      </c>
      <c r="KF32" s="7">
        <v>0</v>
      </c>
      <c r="KG32" s="7">
        <v>34</v>
      </c>
      <c r="KH32" s="7">
        <v>921</v>
      </c>
      <c r="KI32" s="7">
        <v>7075</v>
      </c>
      <c r="KJ32" s="7">
        <v>413</v>
      </c>
      <c r="KK32" s="7">
        <v>35</v>
      </c>
      <c r="KL32" s="7">
        <v>726</v>
      </c>
      <c r="KM32" s="7">
        <v>6446</v>
      </c>
      <c r="KN32" s="7">
        <v>321</v>
      </c>
      <c r="KO32" s="7">
        <v>52</v>
      </c>
      <c r="KP32" s="7">
        <v>7545</v>
      </c>
      <c r="KQ32" s="7">
        <v>853</v>
      </c>
      <c r="KR32" s="7">
        <v>1304</v>
      </c>
      <c r="KS32" s="7">
        <v>1304</v>
      </c>
      <c r="KT32" s="7">
        <v>284</v>
      </c>
      <c r="KU32" s="7">
        <v>86</v>
      </c>
      <c r="KV32" s="7">
        <v>214</v>
      </c>
      <c r="KW32" s="7">
        <v>0</v>
      </c>
      <c r="KX32" s="7">
        <v>294</v>
      </c>
      <c r="KY32" s="7">
        <v>94</v>
      </c>
      <c r="KZ32" s="7">
        <v>210</v>
      </c>
      <c r="LA32" s="7">
        <v>0</v>
      </c>
      <c r="LB32" s="7">
        <v>697</v>
      </c>
      <c r="LC32" s="7">
        <v>726</v>
      </c>
      <c r="LD32" s="7">
        <v>440</v>
      </c>
      <c r="LE32" s="7">
        <v>648</v>
      </c>
      <c r="LF32" s="7">
        <v>5317</v>
      </c>
      <c r="LG32" s="7">
        <v>16</v>
      </c>
      <c r="LH32" s="7">
        <v>1290</v>
      </c>
      <c r="LI32" s="7">
        <v>160</v>
      </c>
      <c r="LJ32" s="7">
        <v>456</v>
      </c>
      <c r="LK32" s="7">
        <v>0</v>
      </c>
      <c r="LL32" s="7">
        <v>241</v>
      </c>
      <c r="LM32" s="7">
        <v>109</v>
      </c>
      <c r="LN32" s="7">
        <v>6</v>
      </c>
      <c r="LO32" s="7">
        <v>1312</v>
      </c>
      <c r="LP32" s="7">
        <v>153</v>
      </c>
      <c r="LQ32" s="7">
        <v>438</v>
      </c>
      <c r="LR32" s="7">
        <v>2</v>
      </c>
      <c r="LS32" s="7">
        <v>223</v>
      </c>
      <c r="LT32" s="7">
        <v>83</v>
      </c>
      <c r="LU32" s="232">
        <v>5.5182674199999999</v>
      </c>
      <c r="LV32" s="232">
        <v>5.7601827179000002</v>
      </c>
      <c r="LW32" s="232">
        <v>5.2814014162999996</v>
      </c>
      <c r="LX32" s="7">
        <v>1971</v>
      </c>
      <c r="LY32" s="7">
        <v>8444</v>
      </c>
    </row>
    <row r="33" spans="1:337" x14ac:dyDescent="0.25">
      <c r="A33" t="s">
        <v>74</v>
      </c>
      <c r="B33" t="s">
        <v>75</v>
      </c>
      <c r="C33" s="7">
        <v>105210</v>
      </c>
      <c r="D33">
        <v>141013</v>
      </c>
      <c r="F33">
        <f t="shared" si="0"/>
        <v>-141013</v>
      </c>
      <c r="G33">
        <f t="shared" si="1"/>
        <v>-100</v>
      </c>
      <c r="H33">
        <v>67691</v>
      </c>
      <c r="I33">
        <v>73322</v>
      </c>
      <c r="J33">
        <v>97537</v>
      </c>
      <c r="K33">
        <v>43476</v>
      </c>
      <c r="L33" s="7">
        <v>7477</v>
      </c>
      <c r="M33" s="7">
        <v>7339</v>
      </c>
      <c r="N33" s="7">
        <v>7097</v>
      </c>
      <c r="O33" s="7">
        <v>6905</v>
      </c>
      <c r="P33" s="7">
        <v>6347</v>
      </c>
      <c r="Q33" s="7">
        <v>5403</v>
      </c>
      <c r="R33" s="7">
        <v>5188</v>
      </c>
      <c r="S33" s="7">
        <v>4620</v>
      </c>
      <c r="T33" s="7">
        <v>3807</v>
      </c>
      <c r="U33" s="7">
        <v>3243</v>
      </c>
      <c r="V33" s="7">
        <v>2560</v>
      </c>
      <c r="W33" s="7">
        <v>2043</v>
      </c>
      <c r="X33" s="7">
        <v>1511</v>
      </c>
      <c r="Y33" s="7">
        <v>3496</v>
      </c>
      <c r="Z33" s="7">
        <v>655</v>
      </c>
      <c r="AA33" s="7">
        <v>7191</v>
      </c>
      <c r="AB33" s="7">
        <v>7435</v>
      </c>
      <c r="AC33" s="7">
        <v>7041</v>
      </c>
      <c r="AD33" s="7">
        <v>7400</v>
      </c>
      <c r="AE33" s="7">
        <v>7185</v>
      </c>
      <c r="AF33" s="7">
        <v>6540</v>
      </c>
      <c r="AG33" s="7">
        <v>5862</v>
      </c>
      <c r="AH33" s="7">
        <v>5465</v>
      </c>
      <c r="AI33" s="7">
        <v>4180</v>
      </c>
      <c r="AJ33" s="7">
        <v>3551</v>
      </c>
      <c r="AK33" s="7">
        <v>2860</v>
      </c>
      <c r="AL33" s="7">
        <v>2165</v>
      </c>
      <c r="AM33" s="7">
        <v>1774</v>
      </c>
      <c r="AN33" s="7">
        <v>4016</v>
      </c>
      <c r="AO33" s="7">
        <v>657</v>
      </c>
      <c r="AP33">
        <v>132645</v>
      </c>
      <c r="AQ33">
        <v>6002</v>
      </c>
      <c r="AR33">
        <v>186</v>
      </c>
      <c r="AS33">
        <v>603</v>
      </c>
      <c r="AT33">
        <v>1577</v>
      </c>
      <c r="AU33" s="7">
        <v>5569</v>
      </c>
      <c r="AV33" s="7">
        <v>2773</v>
      </c>
      <c r="AW33" s="7">
        <v>2796</v>
      </c>
      <c r="AX33" s="7">
        <v>3770</v>
      </c>
      <c r="AY33" s="7">
        <v>5569</v>
      </c>
      <c r="AZ33" s="7">
        <v>1839</v>
      </c>
      <c r="BA33" s="7">
        <v>3730</v>
      </c>
      <c r="BB33" s="7">
        <v>86</v>
      </c>
      <c r="BC33" s="7">
        <v>63</v>
      </c>
      <c r="BD33" s="7">
        <v>221</v>
      </c>
      <c r="BE33" s="7">
        <v>250</v>
      </c>
      <c r="BF33" s="7">
        <v>258</v>
      </c>
      <c r="BG33" s="7">
        <v>248</v>
      </c>
      <c r="BH33" s="7">
        <v>277</v>
      </c>
      <c r="BI33" s="7">
        <v>319</v>
      </c>
      <c r="BJ33" s="7">
        <v>282</v>
      </c>
      <c r="BK33" s="7">
        <v>337</v>
      </c>
      <c r="BL33" s="7">
        <v>286</v>
      </c>
      <c r="BM33" s="7">
        <v>331</v>
      </c>
      <c r="BN33" s="7">
        <v>229</v>
      </c>
      <c r="BO33" s="7">
        <v>230</v>
      </c>
      <c r="BP33" s="7">
        <v>238</v>
      </c>
      <c r="BQ33" s="7">
        <v>222</v>
      </c>
      <c r="BR33" s="7">
        <v>185</v>
      </c>
      <c r="BS33" s="7">
        <v>172</v>
      </c>
      <c r="BT33" s="7">
        <v>167</v>
      </c>
      <c r="BU33" s="7">
        <v>179</v>
      </c>
      <c r="BV33" s="7">
        <v>118</v>
      </c>
      <c r="BW33" s="7">
        <v>103</v>
      </c>
      <c r="BX33" s="7">
        <v>125</v>
      </c>
      <c r="BY33" s="7">
        <v>94</v>
      </c>
      <c r="BZ33" s="7">
        <v>87</v>
      </c>
      <c r="CA33" s="7">
        <v>63</v>
      </c>
      <c r="CB33" s="7">
        <v>214</v>
      </c>
      <c r="CC33" s="7">
        <v>185</v>
      </c>
      <c r="CD33" s="7">
        <v>2462</v>
      </c>
      <c r="CE33" s="7">
        <v>2433</v>
      </c>
      <c r="CF33" s="7">
        <v>144</v>
      </c>
      <c r="CG33" s="7">
        <v>197</v>
      </c>
      <c r="CH33" s="7">
        <v>26700</v>
      </c>
      <c r="CI33" s="7">
        <v>7439</v>
      </c>
      <c r="CJ33" s="7">
        <v>113180</v>
      </c>
      <c r="CK33" s="7">
        <v>25946</v>
      </c>
      <c r="CL33" s="7">
        <v>1965</v>
      </c>
      <c r="CM33" s="7">
        <v>4710</v>
      </c>
      <c r="CN33" s="7">
        <v>6762</v>
      </c>
      <c r="CO33" s="7">
        <v>8442</v>
      </c>
      <c r="CP33" s="7">
        <v>6235</v>
      </c>
      <c r="CQ33" s="7">
        <v>6025</v>
      </c>
      <c r="CR33" s="7">
        <v>25461</v>
      </c>
      <c r="CS33" s="7">
        <v>61178</v>
      </c>
      <c r="CT33" s="7">
        <v>7688</v>
      </c>
      <c r="CU33" s="7">
        <v>3080</v>
      </c>
      <c r="CV33" s="7">
        <v>1565</v>
      </c>
      <c r="CW33" s="7">
        <v>4459</v>
      </c>
      <c r="CX33" s="7">
        <v>1119</v>
      </c>
      <c r="CY33" s="7">
        <v>87627</v>
      </c>
      <c r="CZ33" s="7">
        <v>43748</v>
      </c>
      <c r="DA33" s="7">
        <v>3466</v>
      </c>
      <c r="DB33" s="7">
        <v>1965</v>
      </c>
      <c r="DC33" s="7">
        <v>371</v>
      </c>
      <c r="DD33" s="7">
        <v>10893</v>
      </c>
      <c r="DE33" s="7">
        <v>5159</v>
      </c>
      <c r="DF33" s="7">
        <v>27424</v>
      </c>
      <c r="DG33" s="7">
        <v>0</v>
      </c>
      <c r="DH33" s="7">
        <v>0</v>
      </c>
      <c r="DI33" s="7">
        <v>0</v>
      </c>
      <c r="DJ33" s="7">
        <v>97537</v>
      </c>
      <c r="DK33" s="7">
        <v>0</v>
      </c>
      <c r="DL33" s="7">
        <v>226</v>
      </c>
      <c r="DM33" s="7">
        <v>14</v>
      </c>
      <c r="DN33" s="7">
        <v>27</v>
      </c>
      <c r="DO33" s="7">
        <v>0</v>
      </c>
      <c r="DP33" s="7">
        <v>0</v>
      </c>
      <c r="DQ33" s="7">
        <v>0</v>
      </c>
      <c r="DR33" s="7">
        <v>1</v>
      </c>
      <c r="DS33" s="7">
        <v>0</v>
      </c>
      <c r="DT33" s="7">
        <v>1148</v>
      </c>
      <c r="DU33" s="7">
        <v>1376</v>
      </c>
      <c r="DV33" s="7">
        <v>707</v>
      </c>
      <c r="DW33" s="7">
        <v>794</v>
      </c>
      <c r="DX33" s="7">
        <v>378</v>
      </c>
      <c r="DY33" s="7">
        <v>329</v>
      </c>
      <c r="DZ33" s="7">
        <v>298</v>
      </c>
      <c r="EA33" s="7">
        <v>252</v>
      </c>
      <c r="EB33" s="7">
        <v>141</v>
      </c>
      <c r="EC33" s="7">
        <v>190</v>
      </c>
      <c r="ED33" s="7">
        <v>130</v>
      </c>
      <c r="EE33" s="7">
        <v>152</v>
      </c>
      <c r="EF33" s="7">
        <v>256</v>
      </c>
      <c r="EG33" s="7">
        <v>229</v>
      </c>
      <c r="EH33" s="7">
        <v>1622</v>
      </c>
      <c r="EI33" s="7">
        <v>1009</v>
      </c>
      <c r="EJ33" s="7">
        <v>443</v>
      </c>
      <c r="EK33" s="7">
        <v>292</v>
      </c>
      <c r="EL33" s="7">
        <v>185</v>
      </c>
      <c r="EM33" s="7">
        <v>152</v>
      </c>
      <c r="EN33" s="7">
        <v>249</v>
      </c>
      <c r="EO33" s="7">
        <v>38916</v>
      </c>
      <c r="EP33" s="7">
        <v>37912</v>
      </c>
      <c r="EQ33" s="7">
        <v>1004</v>
      </c>
      <c r="ER33" s="7">
        <v>10250</v>
      </c>
      <c r="ES33" s="7">
        <v>18938</v>
      </c>
      <c r="ET33" s="7">
        <v>18643</v>
      </c>
      <c r="EU33" s="7">
        <v>295</v>
      </c>
      <c r="EV33" s="7">
        <v>36183</v>
      </c>
      <c r="EW33" s="134">
        <v>16.049235182</v>
      </c>
      <c r="EX33" s="134">
        <v>20.656924338</v>
      </c>
      <c r="EY33" s="134">
        <v>23.847650914999999</v>
      </c>
      <c r="EZ33" s="134">
        <v>39.091095328999998</v>
      </c>
      <c r="FA33" s="134">
        <v>0.35509423649999999</v>
      </c>
      <c r="FB33" s="7">
        <v>5773</v>
      </c>
      <c r="FC33" s="7">
        <v>22951</v>
      </c>
      <c r="FD33" s="7">
        <v>1713</v>
      </c>
      <c r="FE33" s="7">
        <v>10374</v>
      </c>
      <c r="FF33" s="7">
        <v>52</v>
      </c>
      <c r="FG33" s="7">
        <v>7849</v>
      </c>
      <c r="FH33" s="7">
        <v>8981</v>
      </c>
      <c r="FI33" s="134">
        <v>30.495424747000001</v>
      </c>
      <c r="FJ33" s="134">
        <v>31.973845944000001</v>
      </c>
      <c r="FK33" s="134">
        <v>35.070677410999998</v>
      </c>
      <c r="FL33" s="134">
        <v>2.4600518984000002</v>
      </c>
      <c r="FM33" s="151">
        <v>36455</v>
      </c>
      <c r="FN33" s="151">
        <v>30429</v>
      </c>
      <c r="FO33" s="7">
        <v>6793</v>
      </c>
      <c r="FP33" s="7">
        <v>4478</v>
      </c>
      <c r="FQ33" s="7">
        <v>854</v>
      </c>
      <c r="FR33" s="7">
        <v>759</v>
      </c>
      <c r="FS33" s="7">
        <v>22585</v>
      </c>
      <c r="FT33" s="7">
        <v>205</v>
      </c>
      <c r="FU33" s="7">
        <v>1052</v>
      </c>
      <c r="FV33" s="7">
        <v>807</v>
      </c>
      <c r="FW33" s="7">
        <v>41919</v>
      </c>
      <c r="FX33" s="7">
        <v>30622</v>
      </c>
      <c r="FY33" s="7">
        <v>7161</v>
      </c>
      <c r="FZ33" s="7">
        <v>5325</v>
      </c>
      <c r="GA33" s="7">
        <v>1101</v>
      </c>
      <c r="GB33" s="7">
        <v>665</v>
      </c>
      <c r="GC33" s="7">
        <v>26852</v>
      </c>
      <c r="GD33" s="7">
        <v>224</v>
      </c>
      <c r="GE33" s="7">
        <v>895</v>
      </c>
      <c r="GF33" s="7">
        <v>781</v>
      </c>
      <c r="GG33" s="7">
        <v>4451</v>
      </c>
      <c r="GH33" s="7">
        <v>4166</v>
      </c>
      <c r="GI33" s="7">
        <v>4024</v>
      </c>
      <c r="GJ33" s="7">
        <v>3318</v>
      </c>
      <c r="GK33" s="7">
        <v>2601</v>
      </c>
      <c r="GL33" s="7">
        <v>2662</v>
      </c>
      <c r="GM33" s="7">
        <v>2888</v>
      </c>
      <c r="GN33" s="7">
        <v>2583</v>
      </c>
      <c r="GO33" s="7">
        <v>1992</v>
      </c>
      <c r="GP33" s="7">
        <v>1831</v>
      </c>
      <c r="GQ33" s="7">
        <v>1407</v>
      </c>
      <c r="GR33" s="7">
        <v>1179</v>
      </c>
      <c r="GS33" s="7">
        <v>911</v>
      </c>
      <c r="GT33" s="7">
        <v>759</v>
      </c>
      <c r="GU33" s="7">
        <v>688</v>
      </c>
      <c r="GV33" s="7">
        <v>489</v>
      </c>
      <c r="GW33" s="7">
        <v>290</v>
      </c>
      <c r="GX33" s="7">
        <v>212</v>
      </c>
      <c r="GY33" s="7">
        <v>4191</v>
      </c>
      <c r="GZ33" s="7">
        <v>4265</v>
      </c>
      <c r="HA33" s="7">
        <v>3982</v>
      </c>
      <c r="HB33" s="7">
        <v>3714</v>
      </c>
      <c r="HC33" s="7">
        <v>3598</v>
      </c>
      <c r="HD33" s="7">
        <v>3639</v>
      </c>
      <c r="HE33" s="7">
        <v>3520</v>
      </c>
      <c r="HF33" s="7">
        <v>3268</v>
      </c>
      <c r="HG33" s="7">
        <v>2505</v>
      </c>
      <c r="HH33" s="7">
        <v>2147</v>
      </c>
      <c r="HI33" s="7">
        <v>1763</v>
      </c>
      <c r="HJ33" s="7">
        <v>1370</v>
      </c>
      <c r="HK33" s="7">
        <v>1153</v>
      </c>
      <c r="HL33" s="7">
        <v>972</v>
      </c>
      <c r="HM33" s="7">
        <v>784</v>
      </c>
      <c r="HN33" s="7">
        <v>471</v>
      </c>
      <c r="HO33" s="7">
        <v>292</v>
      </c>
      <c r="HP33" s="7">
        <v>279</v>
      </c>
      <c r="HQ33" s="7">
        <v>33123</v>
      </c>
      <c r="HR33" s="7">
        <v>154</v>
      </c>
      <c r="HS33" s="7">
        <v>564</v>
      </c>
      <c r="HT33" s="7">
        <v>3</v>
      </c>
      <c r="HU33" s="7">
        <v>5</v>
      </c>
      <c r="HV33" s="7">
        <v>2</v>
      </c>
      <c r="HW33" s="7">
        <v>0</v>
      </c>
      <c r="HX33" s="7">
        <v>719</v>
      </c>
      <c r="HY33" s="7">
        <v>1963</v>
      </c>
      <c r="HZ33" s="7">
        <v>4707</v>
      </c>
      <c r="IA33" s="7">
        <v>6761</v>
      </c>
      <c r="IB33" s="7">
        <v>8441</v>
      </c>
      <c r="IC33" s="7">
        <v>6235</v>
      </c>
      <c r="ID33" s="7">
        <v>3076</v>
      </c>
      <c r="IE33" s="7">
        <v>1390</v>
      </c>
      <c r="IF33" s="7">
        <v>711</v>
      </c>
      <c r="IG33" s="7">
        <v>848</v>
      </c>
      <c r="IH33" s="7">
        <v>2283</v>
      </c>
      <c r="II33" s="7">
        <v>5968</v>
      </c>
      <c r="IJ33" s="7">
        <v>8977</v>
      </c>
      <c r="IK33" s="7">
        <v>7950</v>
      </c>
      <c r="IL33" s="7">
        <v>4626</v>
      </c>
      <c r="IM33" s="7">
        <v>2267</v>
      </c>
      <c r="IN33" s="7">
        <v>1007</v>
      </c>
      <c r="IO33" s="7">
        <v>502</v>
      </c>
      <c r="IP33" s="7">
        <v>430</v>
      </c>
      <c r="IQ33" s="7">
        <v>13159</v>
      </c>
      <c r="IR33" s="7">
        <v>13363</v>
      </c>
      <c r="IS33" s="7">
        <v>5672</v>
      </c>
      <c r="IT33" s="7">
        <v>1471</v>
      </c>
      <c r="IU33" s="7">
        <v>389</v>
      </c>
      <c r="IV33" s="7">
        <v>19091</v>
      </c>
      <c r="IW33" s="7">
        <v>10368</v>
      </c>
      <c r="IX33" s="7">
        <v>190</v>
      </c>
      <c r="IY33" s="7">
        <v>570</v>
      </c>
      <c r="IZ33" s="7">
        <v>755</v>
      </c>
      <c r="JA33" s="7">
        <v>3048</v>
      </c>
      <c r="JB33" s="7">
        <v>20935</v>
      </c>
      <c r="JC33" s="7">
        <v>8957</v>
      </c>
      <c r="JD33" s="7">
        <v>24</v>
      </c>
      <c r="JE33" s="7">
        <v>4</v>
      </c>
      <c r="JF33" s="151">
        <v>33352.064152647181</v>
      </c>
      <c r="JG33" s="151">
        <v>701.30150566341445</v>
      </c>
      <c r="JH33" s="7">
        <v>3548</v>
      </c>
      <c r="JI33" s="7">
        <v>22882</v>
      </c>
      <c r="JJ33" s="7">
        <v>7584</v>
      </c>
      <c r="JK33" s="7">
        <v>118</v>
      </c>
      <c r="JL33" s="7">
        <v>22603</v>
      </c>
      <c r="JM33" s="7">
        <v>16149</v>
      </c>
      <c r="JN33" s="7">
        <v>11527</v>
      </c>
      <c r="JO33" s="7">
        <v>26908</v>
      </c>
      <c r="JP33" s="7">
        <v>30705</v>
      </c>
      <c r="JQ33" s="7">
        <v>6354</v>
      </c>
      <c r="JR33" s="7">
        <v>6897</v>
      </c>
      <c r="JS33" s="7">
        <v>21453</v>
      </c>
      <c r="JT33" s="7">
        <v>3329</v>
      </c>
      <c r="JU33" s="151">
        <v>14365.884061954024</v>
      </c>
      <c r="JV33" s="151">
        <v>13431.960503327378</v>
      </c>
      <c r="JW33" s="151">
        <v>5428.0932843878209</v>
      </c>
      <c r="JX33" s="151">
        <v>126.12630297795488</v>
      </c>
      <c r="JY33" s="7">
        <v>33603</v>
      </c>
      <c r="JZ33" s="7">
        <v>135798</v>
      </c>
      <c r="KA33" s="7">
        <v>500</v>
      </c>
      <c r="KB33" s="7">
        <v>1740</v>
      </c>
      <c r="KC33" s="7">
        <v>11</v>
      </c>
      <c r="KD33" s="7">
        <v>12</v>
      </c>
      <c r="KE33" s="7">
        <v>3</v>
      </c>
      <c r="KF33" s="7">
        <v>0</v>
      </c>
      <c r="KG33" s="7">
        <v>2355</v>
      </c>
      <c r="KH33" s="7">
        <v>15233</v>
      </c>
      <c r="KI33" s="7">
        <v>95231</v>
      </c>
      <c r="KJ33" s="7">
        <v>28165</v>
      </c>
      <c r="KK33" s="7">
        <v>482</v>
      </c>
      <c r="KL33" s="7">
        <v>58545</v>
      </c>
      <c r="KM33" s="7">
        <v>54739</v>
      </c>
      <c r="KN33" s="7">
        <v>22121</v>
      </c>
      <c r="KO33" s="7">
        <v>514</v>
      </c>
      <c r="KP33" s="7">
        <v>135919</v>
      </c>
      <c r="KQ33" s="7">
        <v>2858</v>
      </c>
      <c r="KR33" s="7">
        <v>19618</v>
      </c>
      <c r="KS33" s="7">
        <v>19618</v>
      </c>
      <c r="KT33" s="7">
        <v>3914</v>
      </c>
      <c r="KU33" s="7">
        <v>1337</v>
      </c>
      <c r="KV33" s="7">
        <v>3064</v>
      </c>
      <c r="KW33" s="7">
        <v>6</v>
      </c>
      <c r="KX33" s="7">
        <v>3831</v>
      </c>
      <c r="KY33" s="7">
        <v>1219</v>
      </c>
      <c r="KZ33" s="7">
        <v>2943</v>
      </c>
      <c r="LA33" s="7">
        <v>10</v>
      </c>
      <c r="LB33" s="7">
        <v>10537</v>
      </c>
      <c r="LC33" s="7">
        <v>10614</v>
      </c>
      <c r="LD33" s="7">
        <v>4398</v>
      </c>
      <c r="LE33" s="7">
        <v>8553</v>
      </c>
      <c r="LF33" s="7">
        <v>96121</v>
      </c>
      <c r="LG33" s="7">
        <v>114</v>
      </c>
      <c r="LH33" s="7">
        <v>17077</v>
      </c>
      <c r="LI33" s="7">
        <v>2114</v>
      </c>
      <c r="LJ33" s="7">
        <v>8067</v>
      </c>
      <c r="LK33" s="7">
        <v>24</v>
      </c>
      <c r="LL33" s="7">
        <v>6860</v>
      </c>
      <c r="LM33" s="7">
        <v>6384</v>
      </c>
      <c r="LN33" s="7">
        <v>125</v>
      </c>
      <c r="LO33" s="7">
        <v>20740</v>
      </c>
      <c r="LP33" s="7">
        <v>1849</v>
      </c>
      <c r="LQ33" s="7">
        <v>7987</v>
      </c>
      <c r="LR33" s="7">
        <v>56</v>
      </c>
      <c r="LS33" s="7">
        <v>6596</v>
      </c>
      <c r="LT33" s="7">
        <v>5699</v>
      </c>
      <c r="LU33" s="232">
        <v>7.2672460732999999</v>
      </c>
      <c r="LV33" s="232">
        <v>7.7610485220000003</v>
      </c>
      <c r="LW33" s="232">
        <v>6.8304489393000001</v>
      </c>
      <c r="LX33" s="7">
        <v>34132</v>
      </c>
      <c r="LY33" s="7">
        <v>139111</v>
      </c>
    </row>
    <row r="34" spans="1:337" x14ac:dyDescent="0.25">
      <c r="A34" t="s">
        <v>78</v>
      </c>
      <c r="B34" t="s">
        <v>79</v>
      </c>
      <c r="C34" s="7">
        <v>19298</v>
      </c>
      <c r="D34">
        <v>21050</v>
      </c>
      <c r="F34">
        <f t="shared" si="0"/>
        <v>-21050</v>
      </c>
      <c r="G34">
        <f t="shared" si="1"/>
        <v>-100</v>
      </c>
      <c r="H34">
        <v>10375</v>
      </c>
      <c r="I34">
        <v>10675</v>
      </c>
      <c r="J34">
        <v>6550</v>
      </c>
      <c r="K34">
        <v>14500</v>
      </c>
      <c r="L34" s="7">
        <v>1073</v>
      </c>
      <c r="M34" s="7">
        <v>1180</v>
      </c>
      <c r="N34" s="7">
        <v>1198</v>
      </c>
      <c r="O34" s="7">
        <v>1162</v>
      </c>
      <c r="P34" s="7">
        <v>848</v>
      </c>
      <c r="Q34" s="7">
        <v>767</v>
      </c>
      <c r="R34" s="7">
        <v>745</v>
      </c>
      <c r="S34" s="7">
        <v>669</v>
      </c>
      <c r="T34" s="7">
        <v>552</v>
      </c>
      <c r="U34" s="7">
        <v>464</v>
      </c>
      <c r="V34" s="7">
        <v>402</v>
      </c>
      <c r="W34" s="7">
        <v>337</v>
      </c>
      <c r="X34" s="7">
        <v>260</v>
      </c>
      <c r="Y34" s="7">
        <v>694</v>
      </c>
      <c r="Z34" s="7">
        <v>24</v>
      </c>
      <c r="AA34" s="7">
        <v>1027</v>
      </c>
      <c r="AB34" s="7">
        <v>1219</v>
      </c>
      <c r="AC34" s="7">
        <v>1248</v>
      </c>
      <c r="AD34" s="7">
        <v>1111</v>
      </c>
      <c r="AE34" s="7">
        <v>944</v>
      </c>
      <c r="AF34" s="7">
        <v>862</v>
      </c>
      <c r="AG34" s="7">
        <v>827</v>
      </c>
      <c r="AH34" s="7">
        <v>718</v>
      </c>
      <c r="AI34" s="7">
        <v>528</v>
      </c>
      <c r="AJ34" s="7">
        <v>487</v>
      </c>
      <c r="AK34" s="7">
        <v>410</v>
      </c>
      <c r="AL34" s="7">
        <v>350</v>
      </c>
      <c r="AM34" s="7">
        <v>277</v>
      </c>
      <c r="AN34" s="7">
        <v>645</v>
      </c>
      <c r="AO34" s="7">
        <v>22</v>
      </c>
      <c r="AP34">
        <v>20782</v>
      </c>
      <c r="AQ34">
        <v>152</v>
      </c>
      <c r="AR34">
        <v>22</v>
      </c>
      <c r="AS34">
        <v>17</v>
      </c>
      <c r="AT34">
        <v>77</v>
      </c>
      <c r="AU34" s="7">
        <v>1681</v>
      </c>
      <c r="AV34" s="7">
        <v>900</v>
      </c>
      <c r="AW34" s="7">
        <v>781</v>
      </c>
      <c r="AX34" s="7">
        <v>1770</v>
      </c>
      <c r="AY34" s="7">
        <v>1681</v>
      </c>
      <c r="AZ34" s="7">
        <v>1345</v>
      </c>
      <c r="BA34" s="7">
        <v>336</v>
      </c>
      <c r="BB34" s="7">
        <v>24</v>
      </c>
      <c r="BC34" s="7">
        <v>26</v>
      </c>
      <c r="BD34" s="7">
        <v>71</v>
      </c>
      <c r="BE34" s="7">
        <v>70</v>
      </c>
      <c r="BF34" s="7">
        <v>72</v>
      </c>
      <c r="BG34" s="7">
        <v>77</v>
      </c>
      <c r="BH34" s="7">
        <v>77</v>
      </c>
      <c r="BI34" s="7">
        <v>58</v>
      </c>
      <c r="BJ34" s="7">
        <v>66</v>
      </c>
      <c r="BK34" s="7">
        <v>58</v>
      </c>
      <c r="BL34" s="7">
        <v>45</v>
      </c>
      <c r="BM34" s="7">
        <v>58</v>
      </c>
      <c r="BN34" s="7">
        <v>54</v>
      </c>
      <c r="BO34" s="7">
        <v>60</v>
      </c>
      <c r="BP34" s="7">
        <v>60</v>
      </c>
      <c r="BQ34" s="7">
        <v>51</v>
      </c>
      <c r="BR34" s="7">
        <v>46</v>
      </c>
      <c r="BS34" s="7">
        <v>45</v>
      </c>
      <c r="BT34" s="7">
        <v>62</v>
      </c>
      <c r="BU34" s="7">
        <v>45</v>
      </c>
      <c r="BV34" s="7">
        <v>57</v>
      </c>
      <c r="BW34" s="7">
        <v>34</v>
      </c>
      <c r="BX34" s="7">
        <v>53</v>
      </c>
      <c r="BY34" s="7">
        <v>29</v>
      </c>
      <c r="BZ34" s="7">
        <v>44</v>
      </c>
      <c r="CA34" s="7">
        <v>42</v>
      </c>
      <c r="CB34" s="7">
        <v>169</v>
      </c>
      <c r="CC34" s="7">
        <v>128</v>
      </c>
      <c r="CD34" s="7">
        <v>862</v>
      </c>
      <c r="CE34" s="7">
        <v>741</v>
      </c>
      <c r="CF34" s="7">
        <v>6</v>
      </c>
      <c r="CG34" s="7">
        <v>2</v>
      </c>
      <c r="CH34" s="7">
        <v>4133</v>
      </c>
      <c r="CI34" s="7">
        <v>1091</v>
      </c>
      <c r="CJ34" s="7">
        <v>17397</v>
      </c>
      <c r="CK34" s="7">
        <v>3389</v>
      </c>
      <c r="CL34" s="7">
        <v>501</v>
      </c>
      <c r="CM34" s="7">
        <v>742</v>
      </c>
      <c r="CN34" s="7">
        <v>1024</v>
      </c>
      <c r="CO34" s="7">
        <v>1083</v>
      </c>
      <c r="CP34" s="7">
        <v>877</v>
      </c>
      <c r="CQ34" s="7">
        <v>997</v>
      </c>
      <c r="CR34" s="7">
        <v>3825</v>
      </c>
      <c r="CS34" s="7">
        <v>9855</v>
      </c>
      <c r="CT34" s="7">
        <v>900</v>
      </c>
      <c r="CU34" s="7">
        <v>221</v>
      </c>
      <c r="CV34" s="7">
        <v>160</v>
      </c>
      <c r="CW34" s="7">
        <v>480</v>
      </c>
      <c r="CX34" s="7">
        <v>41</v>
      </c>
      <c r="CY34" s="7">
        <v>14758</v>
      </c>
      <c r="CZ34" s="7">
        <v>5020</v>
      </c>
      <c r="DA34" s="7">
        <v>125</v>
      </c>
      <c r="DB34" s="7">
        <v>501</v>
      </c>
      <c r="DC34" s="7">
        <v>12</v>
      </c>
      <c r="DD34" s="7">
        <v>3671</v>
      </c>
      <c r="DE34" s="7">
        <v>4060</v>
      </c>
      <c r="DF34" s="7">
        <v>6769</v>
      </c>
      <c r="DG34" s="7">
        <v>0</v>
      </c>
      <c r="DH34" s="7">
        <v>6550</v>
      </c>
      <c r="DI34" s="7">
        <v>0</v>
      </c>
      <c r="DJ34" s="7">
        <v>0</v>
      </c>
      <c r="DK34" s="7">
        <v>0</v>
      </c>
      <c r="DL34" s="7">
        <v>89</v>
      </c>
      <c r="DM34" s="7">
        <v>12</v>
      </c>
      <c r="DN34" s="7">
        <v>8</v>
      </c>
      <c r="DO34" s="7">
        <v>0</v>
      </c>
      <c r="DP34" s="7">
        <v>1</v>
      </c>
      <c r="DQ34" s="7">
        <v>0</v>
      </c>
      <c r="DR34" s="7">
        <v>0</v>
      </c>
      <c r="DS34" s="7">
        <v>0</v>
      </c>
      <c r="DT34" s="7">
        <v>132</v>
      </c>
      <c r="DU34" s="7">
        <v>108</v>
      </c>
      <c r="DV34" s="7">
        <v>104</v>
      </c>
      <c r="DW34" s="7">
        <v>96</v>
      </c>
      <c r="DX34" s="7">
        <v>44</v>
      </c>
      <c r="DY34" s="7">
        <v>21</v>
      </c>
      <c r="DZ34" s="7">
        <v>42</v>
      </c>
      <c r="EA34" s="7">
        <v>35</v>
      </c>
      <c r="EB34" s="7">
        <v>10</v>
      </c>
      <c r="EC34" s="7">
        <v>6</v>
      </c>
      <c r="ED34" s="7">
        <v>12</v>
      </c>
      <c r="EE34" s="7">
        <v>6</v>
      </c>
      <c r="EF34" s="7">
        <v>51</v>
      </c>
      <c r="EG34" s="7">
        <v>34</v>
      </c>
      <c r="EH34" s="7">
        <v>166</v>
      </c>
      <c r="EI34" s="7">
        <v>120</v>
      </c>
      <c r="EJ34" s="7">
        <v>35</v>
      </c>
      <c r="EK34" s="7">
        <v>46</v>
      </c>
      <c r="EL34" s="7">
        <v>12</v>
      </c>
      <c r="EM34" s="7">
        <v>11</v>
      </c>
      <c r="EN34" s="7">
        <v>49</v>
      </c>
      <c r="EO34" s="7">
        <v>5682</v>
      </c>
      <c r="EP34" s="7">
        <v>5555</v>
      </c>
      <c r="EQ34" s="7">
        <v>127</v>
      </c>
      <c r="ER34" s="7">
        <v>1865</v>
      </c>
      <c r="ES34" s="7">
        <v>1343</v>
      </c>
      <c r="ET34" s="7">
        <v>1321</v>
      </c>
      <c r="EU34" s="7">
        <v>22</v>
      </c>
      <c r="EV34" s="7">
        <v>6529</v>
      </c>
      <c r="EW34" s="134">
        <v>58.922829581999999</v>
      </c>
      <c r="EX34" s="134">
        <v>9.2443729904000005</v>
      </c>
      <c r="EY34" s="134">
        <v>7.9581993568999998</v>
      </c>
      <c r="EZ34" s="134">
        <v>22.829581994000002</v>
      </c>
      <c r="FA34" s="134">
        <v>1.0450160771999999</v>
      </c>
      <c r="FB34" s="7">
        <v>811</v>
      </c>
      <c r="FC34" s="7">
        <v>3092</v>
      </c>
      <c r="FD34" s="7">
        <v>238</v>
      </c>
      <c r="FE34" s="7">
        <v>1249</v>
      </c>
      <c r="FF34" s="7">
        <v>6</v>
      </c>
      <c r="FG34" s="7">
        <v>875</v>
      </c>
      <c r="FH34" s="7">
        <v>728</v>
      </c>
      <c r="FI34" s="134">
        <v>37.781350482000001</v>
      </c>
      <c r="FJ34" s="134">
        <v>35.852090032</v>
      </c>
      <c r="FK34" s="134">
        <v>16.720257234999998</v>
      </c>
      <c r="FL34" s="134">
        <v>9.6463022507999998</v>
      </c>
      <c r="FM34" s="151">
        <v>6898</v>
      </c>
      <c r="FN34" s="151">
        <v>3437</v>
      </c>
      <c r="FO34" s="7">
        <v>829</v>
      </c>
      <c r="FP34" s="7">
        <v>378</v>
      </c>
      <c r="FQ34" s="7">
        <v>99</v>
      </c>
      <c r="FR34" s="7">
        <v>6</v>
      </c>
      <c r="FS34" s="7">
        <v>5502</v>
      </c>
      <c r="FT34" s="7">
        <v>22</v>
      </c>
      <c r="FU34" s="7">
        <v>125</v>
      </c>
      <c r="FV34" s="7">
        <v>40</v>
      </c>
      <c r="FW34" s="7">
        <v>7789</v>
      </c>
      <c r="FX34" s="7">
        <v>2838</v>
      </c>
      <c r="FY34" s="7">
        <v>833</v>
      </c>
      <c r="FZ34" s="7">
        <v>401</v>
      </c>
      <c r="GA34" s="7">
        <v>116</v>
      </c>
      <c r="GB34" s="7">
        <v>8</v>
      </c>
      <c r="GC34" s="7">
        <v>6354</v>
      </c>
      <c r="GD34" s="7">
        <v>22</v>
      </c>
      <c r="GE34" s="7">
        <v>109</v>
      </c>
      <c r="GF34" s="7">
        <v>48</v>
      </c>
      <c r="GG34" s="7">
        <v>726</v>
      </c>
      <c r="GH34" s="7">
        <v>894</v>
      </c>
      <c r="GI34" s="7">
        <v>926</v>
      </c>
      <c r="GJ34" s="7">
        <v>782</v>
      </c>
      <c r="GK34" s="7">
        <v>416</v>
      </c>
      <c r="GL34" s="7">
        <v>433</v>
      </c>
      <c r="GM34" s="7">
        <v>469</v>
      </c>
      <c r="GN34" s="7">
        <v>444</v>
      </c>
      <c r="GO34" s="7">
        <v>362</v>
      </c>
      <c r="GP34" s="7">
        <v>311</v>
      </c>
      <c r="GQ34" s="7">
        <v>280</v>
      </c>
      <c r="GR34" s="7">
        <v>219</v>
      </c>
      <c r="GS34" s="7">
        <v>168</v>
      </c>
      <c r="GT34" s="7">
        <v>133</v>
      </c>
      <c r="GU34" s="7">
        <v>131</v>
      </c>
      <c r="GV34" s="7">
        <v>99</v>
      </c>
      <c r="GW34" s="7">
        <v>57</v>
      </c>
      <c r="GX34" s="7">
        <v>44</v>
      </c>
      <c r="GY34" s="7">
        <v>686</v>
      </c>
      <c r="GZ34" s="7">
        <v>938</v>
      </c>
      <c r="HA34" s="7">
        <v>952</v>
      </c>
      <c r="HB34" s="7">
        <v>779</v>
      </c>
      <c r="HC34" s="7">
        <v>577</v>
      </c>
      <c r="HD34" s="7">
        <v>619</v>
      </c>
      <c r="HE34" s="7">
        <v>636</v>
      </c>
      <c r="HF34" s="7">
        <v>560</v>
      </c>
      <c r="HG34" s="7">
        <v>423</v>
      </c>
      <c r="HH34" s="7">
        <v>377</v>
      </c>
      <c r="HI34" s="7">
        <v>317</v>
      </c>
      <c r="HJ34" s="7">
        <v>257</v>
      </c>
      <c r="HK34" s="7">
        <v>197</v>
      </c>
      <c r="HL34" s="7">
        <v>156</v>
      </c>
      <c r="HM34" s="7">
        <v>136</v>
      </c>
      <c r="HN34" s="7">
        <v>81</v>
      </c>
      <c r="HO34" s="7">
        <v>51</v>
      </c>
      <c r="HP34" s="7">
        <v>46</v>
      </c>
      <c r="HQ34" s="7">
        <v>5186</v>
      </c>
      <c r="HR34" s="7">
        <v>5</v>
      </c>
      <c r="HS34" s="7">
        <v>3</v>
      </c>
      <c r="HT34" s="7">
        <v>1</v>
      </c>
      <c r="HU34" s="7">
        <v>0</v>
      </c>
      <c r="HV34" s="7">
        <v>3</v>
      </c>
      <c r="HW34" s="7">
        <v>0</v>
      </c>
      <c r="HX34" s="7">
        <v>39</v>
      </c>
      <c r="HY34" s="7">
        <v>501</v>
      </c>
      <c r="HZ34" s="7">
        <v>742</v>
      </c>
      <c r="IA34" s="7">
        <v>1024</v>
      </c>
      <c r="IB34" s="7">
        <v>1082</v>
      </c>
      <c r="IC34" s="7">
        <v>877</v>
      </c>
      <c r="ID34" s="7">
        <v>499</v>
      </c>
      <c r="IE34" s="7">
        <v>224</v>
      </c>
      <c r="IF34" s="7">
        <v>125</v>
      </c>
      <c r="IG34" s="7">
        <v>147</v>
      </c>
      <c r="IH34" s="7">
        <v>718</v>
      </c>
      <c r="II34" s="7">
        <v>1956</v>
      </c>
      <c r="IJ34" s="7">
        <v>1427</v>
      </c>
      <c r="IK34" s="7">
        <v>748</v>
      </c>
      <c r="IL34" s="7">
        <v>242</v>
      </c>
      <c r="IM34" s="7">
        <v>62</v>
      </c>
      <c r="IN34" s="7">
        <v>18</v>
      </c>
      <c r="IO34" s="7">
        <v>11</v>
      </c>
      <c r="IP34" s="7">
        <v>11</v>
      </c>
      <c r="IQ34" s="7">
        <v>3424</v>
      </c>
      <c r="IR34" s="7">
        <v>1341</v>
      </c>
      <c r="IS34" s="7">
        <v>336</v>
      </c>
      <c r="IT34" s="7">
        <v>77</v>
      </c>
      <c r="IU34" s="7">
        <v>25</v>
      </c>
      <c r="IV34" s="7">
        <v>2865</v>
      </c>
      <c r="IW34" s="7">
        <v>1870</v>
      </c>
      <c r="IX34" s="7">
        <v>9</v>
      </c>
      <c r="IY34" s="7">
        <v>130</v>
      </c>
      <c r="IZ34" s="7">
        <v>4</v>
      </c>
      <c r="JA34" s="7">
        <v>325</v>
      </c>
      <c r="JB34" s="7">
        <v>3365</v>
      </c>
      <c r="JC34" s="7">
        <v>1089</v>
      </c>
      <c r="JD34" s="7">
        <v>183</v>
      </c>
      <c r="JE34" s="7">
        <v>12</v>
      </c>
      <c r="JF34" s="151">
        <v>4745.7327234896302</v>
      </c>
      <c r="JG34" s="151">
        <v>464.94760040543429</v>
      </c>
      <c r="JH34" s="7">
        <v>560</v>
      </c>
      <c r="JI34" s="7">
        <v>4280</v>
      </c>
      <c r="JJ34" s="7">
        <v>360</v>
      </c>
      <c r="JK34" s="7">
        <v>21</v>
      </c>
      <c r="JL34" s="7">
        <v>2857</v>
      </c>
      <c r="JM34" s="7">
        <v>1107</v>
      </c>
      <c r="JN34" s="7">
        <v>643</v>
      </c>
      <c r="JO34" s="7">
        <v>3177</v>
      </c>
      <c r="JP34" s="7">
        <v>3752</v>
      </c>
      <c r="JQ34" s="7">
        <v>343</v>
      </c>
      <c r="JR34" s="7">
        <v>259</v>
      </c>
      <c r="JS34" s="7">
        <v>1265</v>
      </c>
      <c r="JT34" s="7">
        <v>109</v>
      </c>
      <c r="JU34" s="151">
        <v>1117.8848251910117</v>
      </c>
      <c r="JV34" s="151">
        <v>3246.8421889934084</v>
      </c>
      <c r="JW34" s="151">
        <v>368.69088097014708</v>
      </c>
      <c r="JX34" s="151">
        <v>12.314828335062854</v>
      </c>
      <c r="JY34" s="7">
        <v>5000</v>
      </c>
      <c r="JZ34" s="7">
        <v>20631</v>
      </c>
      <c r="KA34" s="7">
        <v>20</v>
      </c>
      <c r="KB34" s="7">
        <v>11</v>
      </c>
      <c r="KC34" s="7">
        <v>6</v>
      </c>
      <c r="KD34" s="7">
        <v>0</v>
      </c>
      <c r="KE34" s="7">
        <v>21</v>
      </c>
      <c r="KF34" s="7">
        <v>0</v>
      </c>
      <c r="KG34" s="7">
        <v>136</v>
      </c>
      <c r="KH34" s="7">
        <v>2189</v>
      </c>
      <c r="KI34" s="7">
        <v>17210</v>
      </c>
      <c r="KJ34" s="7">
        <v>1288</v>
      </c>
      <c r="KK34" s="7">
        <v>78</v>
      </c>
      <c r="KL34" s="7">
        <v>4448</v>
      </c>
      <c r="KM34" s="7">
        <v>12919</v>
      </c>
      <c r="KN34" s="7">
        <v>1467</v>
      </c>
      <c r="KO34" s="7">
        <v>49</v>
      </c>
      <c r="KP34" s="7">
        <v>18883</v>
      </c>
      <c r="KQ34" s="7">
        <v>1850</v>
      </c>
      <c r="KR34" s="7">
        <v>3286</v>
      </c>
      <c r="KS34" s="7">
        <v>3286</v>
      </c>
      <c r="KT34" s="7">
        <v>623</v>
      </c>
      <c r="KU34" s="7">
        <v>212</v>
      </c>
      <c r="KV34" s="7">
        <v>526</v>
      </c>
      <c r="KW34" s="7">
        <v>3</v>
      </c>
      <c r="KX34" s="7">
        <v>690</v>
      </c>
      <c r="KY34" s="7">
        <v>242</v>
      </c>
      <c r="KZ34" s="7">
        <v>568</v>
      </c>
      <c r="LA34" s="7">
        <v>2</v>
      </c>
      <c r="LB34" s="7">
        <v>1736</v>
      </c>
      <c r="LC34" s="7">
        <v>1846</v>
      </c>
      <c r="LD34" s="7">
        <v>838</v>
      </c>
      <c r="LE34" s="7">
        <v>1262</v>
      </c>
      <c r="LF34" s="7">
        <v>14059</v>
      </c>
      <c r="LG34" s="7">
        <v>32</v>
      </c>
      <c r="LH34" s="7">
        <v>2914</v>
      </c>
      <c r="LI34" s="7">
        <v>369</v>
      </c>
      <c r="LJ34" s="7">
        <v>1196</v>
      </c>
      <c r="LK34" s="7">
        <v>7</v>
      </c>
      <c r="LL34" s="7">
        <v>976</v>
      </c>
      <c r="LM34" s="7">
        <v>561</v>
      </c>
      <c r="LN34" s="7">
        <v>38</v>
      </c>
      <c r="LO34" s="7">
        <v>2974</v>
      </c>
      <c r="LP34" s="7">
        <v>339</v>
      </c>
      <c r="LQ34" s="7">
        <v>1202</v>
      </c>
      <c r="LR34" s="7">
        <v>9</v>
      </c>
      <c r="LS34" s="7">
        <v>949</v>
      </c>
      <c r="LT34" s="7">
        <v>485</v>
      </c>
      <c r="LU34" s="232">
        <v>6.3437634254999997</v>
      </c>
      <c r="LV34" s="232">
        <v>6.5863125638</v>
      </c>
      <c r="LW34" s="232">
        <v>6.1100801349999996</v>
      </c>
      <c r="LX34" s="7">
        <v>5221</v>
      </c>
      <c r="LY34" s="7">
        <v>20765</v>
      </c>
    </row>
    <row r="35" spans="1:337" x14ac:dyDescent="0.25">
      <c r="A35" t="s">
        <v>64</v>
      </c>
      <c r="B35" t="s">
        <v>65</v>
      </c>
      <c r="C35" s="7">
        <v>14993</v>
      </c>
      <c r="D35">
        <v>18559</v>
      </c>
      <c r="F35">
        <f t="shared" ref="F35:F66" si="2">E35-D35</f>
        <v>-18559</v>
      </c>
      <c r="G35">
        <f t="shared" ref="G35:G66" si="3">E35/D35*100-100</f>
        <v>-100</v>
      </c>
      <c r="H35">
        <v>9090</v>
      </c>
      <c r="I35">
        <v>9469</v>
      </c>
      <c r="J35">
        <v>5155</v>
      </c>
      <c r="K35">
        <v>13404</v>
      </c>
      <c r="L35" s="7">
        <v>1228</v>
      </c>
      <c r="M35" s="7">
        <v>1216</v>
      </c>
      <c r="N35" s="7">
        <v>1290</v>
      </c>
      <c r="O35" s="7">
        <v>1048</v>
      </c>
      <c r="P35" s="7">
        <v>874</v>
      </c>
      <c r="Q35" s="7">
        <v>679</v>
      </c>
      <c r="R35" s="7">
        <v>539</v>
      </c>
      <c r="S35" s="7">
        <v>475</v>
      </c>
      <c r="T35" s="7">
        <v>349</v>
      </c>
      <c r="U35" s="7">
        <v>295</v>
      </c>
      <c r="V35" s="7">
        <v>180</v>
      </c>
      <c r="W35" s="7">
        <v>194</v>
      </c>
      <c r="X35" s="7">
        <v>133</v>
      </c>
      <c r="Y35" s="7">
        <v>298</v>
      </c>
      <c r="Z35" s="7">
        <v>292</v>
      </c>
      <c r="AA35" s="7">
        <v>1221</v>
      </c>
      <c r="AB35" s="7">
        <v>1267</v>
      </c>
      <c r="AC35" s="7">
        <v>1233</v>
      </c>
      <c r="AD35" s="7">
        <v>1110</v>
      </c>
      <c r="AE35" s="7">
        <v>990</v>
      </c>
      <c r="AF35" s="7">
        <v>772</v>
      </c>
      <c r="AG35" s="7">
        <v>554</v>
      </c>
      <c r="AH35" s="7">
        <v>525</v>
      </c>
      <c r="AI35" s="7">
        <v>341</v>
      </c>
      <c r="AJ35" s="7">
        <v>298</v>
      </c>
      <c r="AK35" s="7">
        <v>214</v>
      </c>
      <c r="AL35" s="7">
        <v>210</v>
      </c>
      <c r="AM35" s="7">
        <v>147</v>
      </c>
      <c r="AN35" s="7">
        <v>296</v>
      </c>
      <c r="AO35" s="7">
        <v>291</v>
      </c>
      <c r="AP35">
        <v>17944</v>
      </c>
      <c r="AQ35">
        <v>5</v>
      </c>
      <c r="AR35">
        <v>5</v>
      </c>
      <c r="AS35" t="s">
        <v>358</v>
      </c>
      <c r="AT35">
        <v>605</v>
      </c>
      <c r="AU35" s="7">
        <v>15864</v>
      </c>
      <c r="AV35" s="7">
        <v>7734</v>
      </c>
      <c r="AW35" s="7">
        <v>8130</v>
      </c>
      <c r="AX35" s="7">
        <v>9564</v>
      </c>
      <c r="AY35" s="7">
        <v>15864</v>
      </c>
      <c r="AZ35" s="7">
        <v>11717</v>
      </c>
      <c r="BA35" s="7">
        <v>4147</v>
      </c>
      <c r="BB35" s="7">
        <v>475</v>
      </c>
      <c r="BC35" s="7">
        <v>483</v>
      </c>
      <c r="BD35" s="7">
        <v>1153</v>
      </c>
      <c r="BE35" s="7">
        <v>1220</v>
      </c>
      <c r="BF35" s="7">
        <v>1235</v>
      </c>
      <c r="BG35" s="7">
        <v>1192</v>
      </c>
      <c r="BH35" s="7">
        <v>1002</v>
      </c>
      <c r="BI35" s="7">
        <v>1072</v>
      </c>
      <c r="BJ35" s="7">
        <v>839</v>
      </c>
      <c r="BK35" s="7">
        <v>945</v>
      </c>
      <c r="BL35" s="7">
        <v>649</v>
      </c>
      <c r="BM35" s="7">
        <v>734</v>
      </c>
      <c r="BN35" s="7">
        <v>513</v>
      </c>
      <c r="BO35" s="7">
        <v>518</v>
      </c>
      <c r="BP35" s="7">
        <v>455</v>
      </c>
      <c r="BQ35" s="7">
        <v>499</v>
      </c>
      <c r="BR35" s="7">
        <v>336</v>
      </c>
      <c r="BS35" s="7">
        <v>331</v>
      </c>
      <c r="BT35" s="7">
        <v>289</v>
      </c>
      <c r="BU35" s="7">
        <v>288</v>
      </c>
      <c r="BV35" s="7">
        <v>174</v>
      </c>
      <c r="BW35" s="7">
        <v>212</v>
      </c>
      <c r="BX35" s="7">
        <v>190</v>
      </c>
      <c r="BY35" s="7">
        <v>204</v>
      </c>
      <c r="BZ35" s="7">
        <v>132</v>
      </c>
      <c r="CA35" s="7">
        <v>141</v>
      </c>
      <c r="CB35" s="7">
        <v>292</v>
      </c>
      <c r="CC35" s="7">
        <v>291</v>
      </c>
      <c r="CD35" s="7">
        <v>5443</v>
      </c>
      <c r="CE35" s="7">
        <v>4268</v>
      </c>
      <c r="CF35" s="7">
        <v>2279</v>
      </c>
      <c r="CG35" s="7">
        <v>3829</v>
      </c>
      <c r="CH35" s="7">
        <v>3176</v>
      </c>
      <c r="CI35" s="7">
        <v>441</v>
      </c>
      <c r="CJ35" s="7">
        <v>16415</v>
      </c>
      <c r="CK35" s="7">
        <v>1568</v>
      </c>
      <c r="CL35" s="7">
        <v>131</v>
      </c>
      <c r="CM35" s="7">
        <v>403</v>
      </c>
      <c r="CN35" s="7">
        <v>539</v>
      </c>
      <c r="CO35" s="7">
        <v>646</v>
      </c>
      <c r="CP35" s="7">
        <v>577</v>
      </c>
      <c r="CQ35" s="7">
        <v>1321</v>
      </c>
      <c r="CR35" s="7">
        <v>3089</v>
      </c>
      <c r="CS35" s="7">
        <v>10247</v>
      </c>
      <c r="CT35" s="7">
        <v>458</v>
      </c>
      <c r="CU35" s="7">
        <v>210</v>
      </c>
      <c r="CV35" s="7">
        <v>81</v>
      </c>
      <c r="CW35" s="7">
        <v>233</v>
      </c>
      <c r="CX35" s="7">
        <v>8</v>
      </c>
      <c r="CY35" s="7">
        <v>14444</v>
      </c>
      <c r="CZ35" s="7">
        <v>3138</v>
      </c>
      <c r="DA35" s="7">
        <v>32</v>
      </c>
      <c r="DB35" s="7">
        <v>131</v>
      </c>
      <c r="DC35" s="7">
        <v>2</v>
      </c>
      <c r="DD35" s="7">
        <v>2534</v>
      </c>
      <c r="DE35" s="7">
        <v>2478</v>
      </c>
      <c r="DF35" s="7">
        <v>8392</v>
      </c>
      <c r="DG35" s="7">
        <v>0</v>
      </c>
      <c r="DH35" s="7">
        <v>5155</v>
      </c>
      <c r="DI35" s="7">
        <v>0</v>
      </c>
      <c r="DJ35" s="7">
        <v>0</v>
      </c>
      <c r="DK35" s="7">
        <v>0</v>
      </c>
      <c r="DL35" s="7">
        <v>36</v>
      </c>
      <c r="DM35" s="7">
        <v>7</v>
      </c>
      <c r="DN35" s="7">
        <v>7</v>
      </c>
      <c r="DO35" s="7">
        <v>0</v>
      </c>
      <c r="DP35" s="7">
        <v>1</v>
      </c>
      <c r="DQ35" s="7">
        <v>0</v>
      </c>
      <c r="DR35" s="7">
        <v>0</v>
      </c>
      <c r="DS35" s="7">
        <v>0</v>
      </c>
      <c r="DT35" s="7">
        <v>108</v>
      </c>
      <c r="DU35" s="7">
        <v>124</v>
      </c>
      <c r="DV35" s="7">
        <v>51</v>
      </c>
      <c r="DW35" s="7">
        <v>46</v>
      </c>
      <c r="DX35" s="7">
        <v>24</v>
      </c>
      <c r="DY35" s="7">
        <v>11</v>
      </c>
      <c r="DZ35" s="7">
        <v>19</v>
      </c>
      <c r="EA35" s="7">
        <v>21</v>
      </c>
      <c r="EB35" s="7">
        <v>3</v>
      </c>
      <c r="EC35" s="7">
        <v>2</v>
      </c>
      <c r="ED35" s="7">
        <v>4</v>
      </c>
      <c r="EE35" s="7">
        <v>0</v>
      </c>
      <c r="EF35" s="7">
        <v>19</v>
      </c>
      <c r="EG35" s="7">
        <v>34</v>
      </c>
      <c r="EH35" s="7">
        <v>145</v>
      </c>
      <c r="EI35" s="7">
        <v>57</v>
      </c>
      <c r="EJ35" s="7">
        <v>17</v>
      </c>
      <c r="EK35" s="7">
        <v>19</v>
      </c>
      <c r="EL35" s="7">
        <v>5</v>
      </c>
      <c r="EM35" s="7">
        <v>2</v>
      </c>
      <c r="EN35" s="7">
        <v>21</v>
      </c>
      <c r="EO35" s="7">
        <v>4385</v>
      </c>
      <c r="EP35" s="7">
        <v>4369</v>
      </c>
      <c r="EQ35" s="7">
        <v>16</v>
      </c>
      <c r="ER35" s="7">
        <v>1425</v>
      </c>
      <c r="ES35" s="7">
        <v>332</v>
      </c>
      <c r="ET35" s="7">
        <v>322</v>
      </c>
      <c r="EU35" s="7">
        <v>10</v>
      </c>
      <c r="EV35" s="7">
        <v>5805</v>
      </c>
      <c r="EW35" s="134">
        <v>86.853356134999999</v>
      </c>
      <c r="EX35" s="134">
        <v>4.4249679349999997</v>
      </c>
      <c r="EY35" s="134">
        <v>2.4369388627999999</v>
      </c>
      <c r="EZ35" s="134">
        <v>5.8144506198999997</v>
      </c>
      <c r="FA35" s="134">
        <v>0.47028644720000001</v>
      </c>
      <c r="FB35" s="7">
        <v>962</v>
      </c>
      <c r="FC35" s="7">
        <v>2459</v>
      </c>
      <c r="FD35" s="7">
        <v>130</v>
      </c>
      <c r="FE35" s="7">
        <v>709</v>
      </c>
      <c r="FF35" s="7">
        <v>1</v>
      </c>
      <c r="FG35" s="7">
        <v>358</v>
      </c>
      <c r="FH35" s="7">
        <v>86</v>
      </c>
      <c r="FI35" s="134">
        <v>90.017101324999999</v>
      </c>
      <c r="FJ35" s="134">
        <v>3.1209918768999998</v>
      </c>
      <c r="FK35" s="134">
        <v>4.9166310389000003</v>
      </c>
      <c r="FL35" s="134">
        <v>1.9452757589</v>
      </c>
      <c r="FM35" s="151">
        <v>4443</v>
      </c>
      <c r="FN35" s="151">
        <v>4321</v>
      </c>
      <c r="FO35" s="7">
        <v>716</v>
      </c>
      <c r="FP35" s="7">
        <v>50</v>
      </c>
      <c r="FQ35" s="7">
        <v>21</v>
      </c>
      <c r="FR35" s="7">
        <v>0</v>
      </c>
      <c r="FS35" s="7">
        <v>3603</v>
      </c>
      <c r="FT35" s="7">
        <v>24</v>
      </c>
      <c r="FU35" s="7">
        <v>35</v>
      </c>
      <c r="FV35" s="7">
        <v>326</v>
      </c>
      <c r="FW35" s="7">
        <v>4772</v>
      </c>
      <c r="FX35" s="7">
        <v>4379</v>
      </c>
      <c r="FY35" s="7">
        <v>732</v>
      </c>
      <c r="FZ35" s="7">
        <v>41</v>
      </c>
      <c r="GA35" s="7">
        <v>28</v>
      </c>
      <c r="GB35" s="7">
        <v>0</v>
      </c>
      <c r="GC35" s="7">
        <v>3927</v>
      </c>
      <c r="GD35" s="7">
        <v>16</v>
      </c>
      <c r="GE35" s="7">
        <v>34</v>
      </c>
      <c r="GF35" s="7">
        <v>318</v>
      </c>
      <c r="GG35" s="7">
        <v>523</v>
      </c>
      <c r="GH35" s="7">
        <v>658</v>
      </c>
      <c r="GI35" s="7">
        <v>665</v>
      </c>
      <c r="GJ35" s="7">
        <v>497</v>
      </c>
      <c r="GK35" s="7">
        <v>367</v>
      </c>
      <c r="GL35" s="7">
        <v>331</v>
      </c>
      <c r="GM35" s="7">
        <v>302</v>
      </c>
      <c r="GN35" s="7">
        <v>271</v>
      </c>
      <c r="GO35" s="7">
        <v>190</v>
      </c>
      <c r="GP35" s="7">
        <v>167</v>
      </c>
      <c r="GQ35" s="7">
        <v>92</v>
      </c>
      <c r="GR35" s="7">
        <v>102</v>
      </c>
      <c r="GS35" s="7">
        <v>76</v>
      </c>
      <c r="GT35" s="7">
        <v>64</v>
      </c>
      <c r="GU35" s="7">
        <v>62</v>
      </c>
      <c r="GV35" s="7">
        <v>41</v>
      </c>
      <c r="GW35" s="7">
        <v>14</v>
      </c>
      <c r="GX35" s="7">
        <v>20</v>
      </c>
      <c r="GY35" s="7">
        <v>507</v>
      </c>
      <c r="GZ35" s="7">
        <v>680</v>
      </c>
      <c r="HA35" s="7">
        <v>660</v>
      </c>
      <c r="HB35" s="7">
        <v>505</v>
      </c>
      <c r="HC35" s="7">
        <v>429</v>
      </c>
      <c r="HD35" s="7">
        <v>420</v>
      </c>
      <c r="HE35" s="7">
        <v>330</v>
      </c>
      <c r="HF35" s="7">
        <v>316</v>
      </c>
      <c r="HG35" s="7">
        <v>195</v>
      </c>
      <c r="HH35" s="7">
        <v>164</v>
      </c>
      <c r="HI35" s="7">
        <v>130</v>
      </c>
      <c r="HJ35" s="7">
        <v>130</v>
      </c>
      <c r="HK35" s="7">
        <v>97</v>
      </c>
      <c r="HL35" s="7">
        <v>64</v>
      </c>
      <c r="HM35" s="7">
        <v>73</v>
      </c>
      <c r="HN35" s="7">
        <v>35</v>
      </c>
      <c r="HO35" s="7">
        <v>18</v>
      </c>
      <c r="HP35" s="7">
        <v>18</v>
      </c>
      <c r="HQ35" s="7">
        <v>3585</v>
      </c>
      <c r="HR35" s="7">
        <v>1</v>
      </c>
      <c r="HS35" s="7">
        <v>1</v>
      </c>
      <c r="HT35" s="7">
        <v>1</v>
      </c>
      <c r="HU35" s="7">
        <v>0</v>
      </c>
      <c r="HV35" s="7">
        <v>0</v>
      </c>
      <c r="HW35" s="7">
        <v>1</v>
      </c>
      <c r="HX35" s="7">
        <v>220</v>
      </c>
      <c r="HY35" s="7">
        <v>131</v>
      </c>
      <c r="HZ35" s="7">
        <v>403</v>
      </c>
      <c r="IA35" s="7">
        <v>539</v>
      </c>
      <c r="IB35" s="7">
        <v>646</v>
      </c>
      <c r="IC35" s="7">
        <v>577</v>
      </c>
      <c r="ID35" s="7">
        <v>466</v>
      </c>
      <c r="IE35" s="7">
        <v>314</v>
      </c>
      <c r="IF35" s="7">
        <v>225</v>
      </c>
      <c r="IG35" s="7">
        <v>315</v>
      </c>
      <c r="IH35" s="7">
        <v>370</v>
      </c>
      <c r="II35" s="7">
        <v>1612</v>
      </c>
      <c r="IJ35" s="7">
        <v>933</v>
      </c>
      <c r="IK35" s="7">
        <v>342</v>
      </c>
      <c r="IL35" s="7">
        <v>246</v>
      </c>
      <c r="IM35" s="7">
        <v>42</v>
      </c>
      <c r="IN35" s="7">
        <v>13</v>
      </c>
      <c r="IO35" s="7">
        <v>1</v>
      </c>
      <c r="IP35" s="7">
        <v>2</v>
      </c>
      <c r="IQ35" s="7">
        <v>2010</v>
      </c>
      <c r="IR35" s="7">
        <v>968</v>
      </c>
      <c r="IS35" s="7">
        <v>326</v>
      </c>
      <c r="IT35" s="7">
        <v>229</v>
      </c>
      <c r="IU35" s="7">
        <v>33</v>
      </c>
      <c r="IV35" s="7">
        <v>989</v>
      </c>
      <c r="IW35" s="7">
        <v>2329</v>
      </c>
      <c r="IX35" s="7">
        <v>11</v>
      </c>
      <c r="IY35" s="7">
        <v>35</v>
      </c>
      <c r="IZ35" s="7">
        <v>1</v>
      </c>
      <c r="JA35" s="7">
        <v>235</v>
      </c>
      <c r="JB35" s="7">
        <v>2165</v>
      </c>
      <c r="JC35" s="7">
        <v>463</v>
      </c>
      <c r="JD35" s="7">
        <v>127</v>
      </c>
      <c r="JE35" s="7">
        <v>345</v>
      </c>
      <c r="JF35" s="151">
        <v>3427.3301420008852</v>
      </c>
      <c r="JG35" s="151">
        <v>176.59600144816767</v>
      </c>
      <c r="JH35" s="7">
        <v>717</v>
      </c>
      <c r="JI35" s="7">
        <v>2799</v>
      </c>
      <c r="JJ35" s="7">
        <v>76</v>
      </c>
      <c r="JK35" s="7">
        <v>24</v>
      </c>
      <c r="JL35" s="7">
        <v>541</v>
      </c>
      <c r="JM35" s="7">
        <v>115</v>
      </c>
      <c r="JN35" s="7">
        <v>117</v>
      </c>
      <c r="JO35" s="7">
        <v>1116</v>
      </c>
      <c r="JP35" s="7">
        <v>1581</v>
      </c>
      <c r="JQ35" s="7">
        <v>45</v>
      </c>
      <c r="JR35" s="7">
        <v>108</v>
      </c>
      <c r="JS35" s="7">
        <v>504</v>
      </c>
      <c r="JT35" s="7">
        <v>11</v>
      </c>
      <c r="JU35" s="151">
        <v>420.77316062593025</v>
      </c>
      <c r="JV35" s="151">
        <v>2490.4461160947744</v>
      </c>
      <c r="JW35" s="151">
        <v>509.47343014602359</v>
      </c>
      <c r="JX35" s="151">
        <v>6.6374351341566431</v>
      </c>
      <c r="JY35" s="7">
        <v>3499</v>
      </c>
      <c r="JZ35" s="7">
        <v>17833</v>
      </c>
      <c r="KA35" s="7">
        <v>2</v>
      </c>
      <c r="KB35" s="7">
        <v>1</v>
      </c>
      <c r="KC35" s="7">
        <v>6</v>
      </c>
      <c r="KD35" s="7">
        <v>0</v>
      </c>
      <c r="KE35" s="7">
        <v>0</v>
      </c>
      <c r="KF35" s="7">
        <v>7</v>
      </c>
      <c r="KG35" s="7">
        <v>710</v>
      </c>
      <c r="KH35" s="7">
        <v>3403</v>
      </c>
      <c r="KI35" s="7">
        <v>14124</v>
      </c>
      <c r="KJ35" s="7">
        <v>341</v>
      </c>
      <c r="KK35" s="7">
        <v>108</v>
      </c>
      <c r="KL35" s="7">
        <v>2092</v>
      </c>
      <c r="KM35" s="7">
        <v>12382</v>
      </c>
      <c r="KN35" s="7">
        <v>2533</v>
      </c>
      <c r="KO35" s="7">
        <v>33</v>
      </c>
      <c r="KP35" s="7">
        <v>17040</v>
      </c>
      <c r="KQ35" s="7">
        <v>878</v>
      </c>
      <c r="KR35" s="7">
        <v>3026</v>
      </c>
      <c r="KS35" s="7">
        <v>3026</v>
      </c>
      <c r="KT35" s="7">
        <v>626</v>
      </c>
      <c r="KU35" s="7">
        <v>182</v>
      </c>
      <c r="KV35" s="7">
        <v>482</v>
      </c>
      <c r="KW35" s="7">
        <v>0</v>
      </c>
      <c r="KX35" s="7">
        <v>673</v>
      </c>
      <c r="KY35" s="7">
        <v>176</v>
      </c>
      <c r="KZ35" s="7">
        <v>405</v>
      </c>
      <c r="LA35" s="7">
        <v>0</v>
      </c>
      <c r="LB35" s="7">
        <v>1678</v>
      </c>
      <c r="LC35" s="7">
        <v>1627</v>
      </c>
      <c r="LD35" s="7">
        <v>1020</v>
      </c>
      <c r="LE35" s="7">
        <v>2090</v>
      </c>
      <c r="LF35" s="7">
        <v>10521</v>
      </c>
      <c r="LG35" s="7">
        <v>11</v>
      </c>
      <c r="LH35" s="7">
        <v>2424</v>
      </c>
      <c r="LI35" s="7">
        <v>318</v>
      </c>
      <c r="LJ35" s="7">
        <v>770</v>
      </c>
      <c r="LK35" s="7">
        <v>1</v>
      </c>
      <c r="LL35" s="7">
        <v>486</v>
      </c>
      <c r="LM35" s="7">
        <v>82</v>
      </c>
      <c r="LN35" s="7">
        <v>10</v>
      </c>
      <c r="LO35" s="7">
        <v>2248</v>
      </c>
      <c r="LP35" s="7">
        <v>273</v>
      </c>
      <c r="LQ35" s="7">
        <v>652</v>
      </c>
      <c r="LR35" s="7">
        <v>0</v>
      </c>
      <c r="LS35" s="7">
        <v>345</v>
      </c>
      <c r="LT35" s="7">
        <v>46</v>
      </c>
      <c r="LU35" s="232">
        <v>4.7696784658000002</v>
      </c>
      <c r="LV35" s="232">
        <v>5.4101190476000003</v>
      </c>
      <c r="LW35" s="232">
        <v>4.1764381547999996</v>
      </c>
      <c r="LX35" s="7">
        <v>3616</v>
      </c>
      <c r="LY35" s="7">
        <v>17976</v>
      </c>
    </row>
    <row r="36" spans="1:337" x14ac:dyDescent="0.25">
      <c r="A36" t="s">
        <v>278</v>
      </c>
      <c r="B36" t="s">
        <v>279</v>
      </c>
      <c r="C36" s="7" t="s">
        <v>390</v>
      </c>
      <c r="D36" t="s">
        <v>358</v>
      </c>
      <c r="F36" t="e">
        <f t="shared" si="2"/>
        <v>#VALUE!</v>
      </c>
      <c r="G36" t="e">
        <f t="shared" si="3"/>
        <v>#VALUE!</v>
      </c>
      <c r="H36" t="s">
        <v>358</v>
      </c>
      <c r="I36" t="s">
        <v>358</v>
      </c>
      <c r="J36" t="s">
        <v>358</v>
      </c>
      <c r="K36" t="s">
        <v>358</v>
      </c>
      <c r="AP36" t="s">
        <v>358</v>
      </c>
      <c r="AQ36" t="s">
        <v>358</v>
      </c>
      <c r="AR36" t="s">
        <v>358</v>
      </c>
      <c r="AS36" t="s">
        <v>358</v>
      </c>
      <c r="AT36" t="s">
        <v>358</v>
      </c>
      <c r="AU36" s="7">
        <v>0</v>
      </c>
      <c r="AV36" s="7">
        <v>0</v>
      </c>
      <c r="AW36" s="7">
        <v>0</v>
      </c>
      <c r="AX36" s="7" t="s">
        <v>390</v>
      </c>
      <c r="AY36" s="7" t="s">
        <v>390</v>
      </c>
      <c r="AZ36" s="7" t="s">
        <v>390</v>
      </c>
      <c r="BA36" s="7" t="s">
        <v>390</v>
      </c>
      <c r="BB36" s="7">
        <v>103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134">
        <v>0</v>
      </c>
      <c r="EX36" s="134">
        <v>0</v>
      </c>
      <c r="EY36" s="134">
        <v>0</v>
      </c>
      <c r="EZ36" s="134">
        <v>0</v>
      </c>
      <c r="FA36" s="134">
        <v>0</v>
      </c>
      <c r="FB36" s="7">
        <v>0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0</v>
      </c>
      <c r="FI36" s="134">
        <v>0</v>
      </c>
      <c r="FJ36" s="134">
        <v>0</v>
      </c>
      <c r="FK36" s="134">
        <v>0</v>
      </c>
      <c r="FL36" s="134">
        <v>0</v>
      </c>
      <c r="FM36" s="151">
        <v>0</v>
      </c>
      <c r="FN36" s="151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0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0</v>
      </c>
      <c r="HP36" s="7">
        <v>0</v>
      </c>
      <c r="HQ36" s="7">
        <v>0</v>
      </c>
      <c r="HR36" s="7">
        <v>0</v>
      </c>
      <c r="HS36" s="7">
        <v>0</v>
      </c>
      <c r="HT36" s="7">
        <v>0</v>
      </c>
      <c r="HU36" s="7">
        <v>0</v>
      </c>
      <c r="HV36" s="7">
        <v>0</v>
      </c>
      <c r="HW36" s="7">
        <v>0</v>
      </c>
      <c r="HX36" s="7">
        <v>0</v>
      </c>
      <c r="HY36" s="7">
        <v>0</v>
      </c>
      <c r="HZ36" s="7">
        <v>0</v>
      </c>
      <c r="IA36" s="7">
        <v>0</v>
      </c>
      <c r="IB36" s="7">
        <v>0</v>
      </c>
      <c r="IC36" s="7">
        <v>0</v>
      </c>
      <c r="ID36" s="7">
        <v>0</v>
      </c>
      <c r="IE36" s="7">
        <v>0</v>
      </c>
      <c r="IF36" s="7">
        <v>0</v>
      </c>
      <c r="IG36" s="7">
        <v>0</v>
      </c>
      <c r="IH36" s="7">
        <v>0</v>
      </c>
      <c r="II36" s="7">
        <v>0</v>
      </c>
      <c r="IJ36" s="7">
        <v>0</v>
      </c>
      <c r="IK36" s="7">
        <v>0</v>
      </c>
      <c r="IL36" s="7">
        <v>0</v>
      </c>
      <c r="IM36" s="7">
        <v>0</v>
      </c>
      <c r="IN36" s="7">
        <v>0</v>
      </c>
      <c r="IO36" s="7">
        <v>0</v>
      </c>
      <c r="IP36" s="7">
        <v>0</v>
      </c>
      <c r="IQ36" s="7">
        <v>0</v>
      </c>
      <c r="IR36" s="7">
        <v>0</v>
      </c>
      <c r="IS36" s="7">
        <v>0</v>
      </c>
      <c r="IT36" s="7">
        <v>0</v>
      </c>
      <c r="IU36" s="7">
        <v>0</v>
      </c>
      <c r="IV36" s="7">
        <v>0</v>
      </c>
      <c r="IW36" s="7">
        <v>0</v>
      </c>
      <c r="IX36" s="7">
        <v>0</v>
      </c>
      <c r="IY36" s="7">
        <v>0</v>
      </c>
      <c r="IZ36" s="7">
        <v>0</v>
      </c>
      <c r="JA36" s="7">
        <v>0</v>
      </c>
      <c r="JB36" s="7">
        <v>0</v>
      </c>
      <c r="JC36" s="7">
        <v>0</v>
      </c>
      <c r="JD36" s="7">
        <v>0</v>
      </c>
      <c r="JE36" s="7">
        <v>0</v>
      </c>
      <c r="JF36" s="151">
        <v>0</v>
      </c>
      <c r="JG36" s="151">
        <v>0</v>
      </c>
      <c r="JH36" s="7">
        <v>0</v>
      </c>
      <c r="JI36" s="7">
        <v>0</v>
      </c>
      <c r="JJ36" s="7">
        <v>0</v>
      </c>
      <c r="JK36" s="7">
        <v>0</v>
      </c>
      <c r="JL36" s="7">
        <v>0</v>
      </c>
      <c r="JM36" s="7">
        <v>0</v>
      </c>
      <c r="JN36" s="7">
        <v>0</v>
      </c>
      <c r="JO36" s="7">
        <v>0</v>
      </c>
      <c r="JP36" s="7">
        <v>0</v>
      </c>
      <c r="JQ36" s="7">
        <v>0</v>
      </c>
      <c r="JR36" s="7">
        <v>0</v>
      </c>
      <c r="JS36" s="7">
        <v>0</v>
      </c>
      <c r="JT36" s="7">
        <v>0</v>
      </c>
      <c r="JU36" s="151">
        <v>0</v>
      </c>
      <c r="JV36" s="151">
        <v>0</v>
      </c>
      <c r="JW36" s="151">
        <v>0</v>
      </c>
      <c r="JX36" s="151">
        <v>0</v>
      </c>
      <c r="JY36" s="7">
        <v>0</v>
      </c>
      <c r="JZ36" s="7">
        <v>0</v>
      </c>
      <c r="KA36" s="7">
        <v>0</v>
      </c>
      <c r="KB36" s="7">
        <v>0</v>
      </c>
      <c r="KC36" s="7">
        <v>0</v>
      </c>
      <c r="KD36" s="7">
        <v>0</v>
      </c>
      <c r="KE36" s="7">
        <v>0</v>
      </c>
      <c r="KF36" s="7">
        <v>0</v>
      </c>
      <c r="KG36" s="7">
        <v>0</v>
      </c>
      <c r="KH36" s="7">
        <v>0</v>
      </c>
      <c r="KI36" s="7">
        <v>0</v>
      </c>
      <c r="KJ36" s="7">
        <v>0</v>
      </c>
      <c r="KK36" s="7">
        <v>0</v>
      </c>
      <c r="KL36" s="7">
        <v>0</v>
      </c>
      <c r="KM36" s="7">
        <v>0</v>
      </c>
      <c r="KN36" s="7">
        <v>0</v>
      </c>
      <c r="KO36" s="7">
        <v>0</v>
      </c>
      <c r="KP36" s="7">
        <v>0</v>
      </c>
      <c r="KQ36" s="7">
        <v>0</v>
      </c>
      <c r="KR36" s="7">
        <v>0</v>
      </c>
      <c r="KS36" s="7">
        <v>0</v>
      </c>
      <c r="KT36" s="7">
        <v>0</v>
      </c>
      <c r="KU36" s="7">
        <v>0</v>
      </c>
      <c r="KV36" s="7">
        <v>0</v>
      </c>
      <c r="KW36" s="7">
        <v>0</v>
      </c>
      <c r="KX36" s="7">
        <v>0</v>
      </c>
      <c r="KY36" s="7">
        <v>0</v>
      </c>
      <c r="KZ36" s="7">
        <v>0</v>
      </c>
      <c r="LA36" s="7">
        <v>0</v>
      </c>
      <c r="LB36" s="7">
        <v>0</v>
      </c>
      <c r="LC36" s="7">
        <v>0</v>
      </c>
      <c r="LD36" s="7">
        <v>0</v>
      </c>
      <c r="LE36" s="7">
        <v>0</v>
      </c>
      <c r="LF36" s="7">
        <v>0</v>
      </c>
      <c r="LG36" s="7">
        <v>0</v>
      </c>
      <c r="LH36" s="7">
        <v>0</v>
      </c>
      <c r="LI36" s="7">
        <v>0</v>
      </c>
      <c r="LJ36" s="7">
        <v>0</v>
      </c>
      <c r="LK36" s="7">
        <v>0</v>
      </c>
      <c r="LL36" s="7">
        <v>0</v>
      </c>
      <c r="LM36" s="7">
        <v>0</v>
      </c>
      <c r="LN36" s="7">
        <v>0</v>
      </c>
      <c r="LO36" s="7">
        <v>0</v>
      </c>
      <c r="LP36" s="7">
        <v>0</v>
      </c>
      <c r="LQ36" s="7">
        <v>0</v>
      </c>
      <c r="LR36" s="7">
        <v>0</v>
      </c>
      <c r="LS36" s="7">
        <v>0</v>
      </c>
      <c r="LT36" s="7">
        <v>0</v>
      </c>
      <c r="LU36" s="232">
        <v>0</v>
      </c>
      <c r="LV36" s="232">
        <v>0</v>
      </c>
      <c r="LW36" s="232">
        <v>0</v>
      </c>
      <c r="LX36" s="7">
        <v>0</v>
      </c>
      <c r="LY36" s="7">
        <v>0</v>
      </c>
    </row>
    <row r="37" spans="1:337" x14ac:dyDescent="0.25">
      <c r="A37" t="s">
        <v>176</v>
      </c>
      <c r="B37" t="s">
        <v>177</v>
      </c>
      <c r="C37" s="7">
        <v>11641</v>
      </c>
      <c r="D37">
        <v>13201</v>
      </c>
      <c r="F37">
        <f t="shared" si="2"/>
        <v>-13201</v>
      </c>
      <c r="G37">
        <f t="shared" si="3"/>
        <v>-100</v>
      </c>
      <c r="H37">
        <v>6586</v>
      </c>
      <c r="I37">
        <v>6615</v>
      </c>
      <c r="J37">
        <v>0</v>
      </c>
      <c r="K37">
        <v>13201</v>
      </c>
      <c r="L37" s="7">
        <v>903</v>
      </c>
      <c r="M37" s="7">
        <v>885</v>
      </c>
      <c r="N37" s="7">
        <v>962</v>
      </c>
      <c r="O37" s="7">
        <v>783</v>
      </c>
      <c r="P37" s="7">
        <v>519</v>
      </c>
      <c r="Q37" s="7">
        <v>430</v>
      </c>
      <c r="R37" s="7">
        <v>369</v>
      </c>
      <c r="S37" s="7">
        <v>301</v>
      </c>
      <c r="T37" s="7">
        <v>271</v>
      </c>
      <c r="U37" s="7">
        <v>244</v>
      </c>
      <c r="V37" s="7">
        <v>211</v>
      </c>
      <c r="W37" s="7">
        <v>198</v>
      </c>
      <c r="X37" s="7">
        <v>156</v>
      </c>
      <c r="Y37" s="7">
        <v>351</v>
      </c>
      <c r="Z37" s="7">
        <v>3</v>
      </c>
      <c r="AA37" s="7">
        <v>886</v>
      </c>
      <c r="AB37" s="7">
        <v>881</v>
      </c>
      <c r="AC37" s="7">
        <v>833</v>
      </c>
      <c r="AD37" s="7">
        <v>743</v>
      </c>
      <c r="AE37" s="7">
        <v>607</v>
      </c>
      <c r="AF37" s="7">
        <v>450</v>
      </c>
      <c r="AG37" s="7">
        <v>404</v>
      </c>
      <c r="AH37" s="7">
        <v>355</v>
      </c>
      <c r="AI37" s="7">
        <v>264</v>
      </c>
      <c r="AJ37" s="7">
        <v>267</v>
      </c>
      <c r="AK37" s="7">
        <v>198</v>
      </c>
      <c r="AL37" s="7">
        <v>166</v>
      </c>
      <c r="AM37" s="7">
        <v>160</v>
      </c>
      <c r="AN37" s="7">
        <v>393</v>
      </c>
      <c r="AO37" s="7">
        <v>8</v>
      </c>
      <c r="AP37">
        <v>13142</v>
      </c>
      <c r="AQ37">
        <v>31</v>
      </c>
      <c r="AR37">
        <v>8</v>
      </c>
      <c r="AS37">
        <v>1</v>
      </c>
      <c r="AT37">
        <v>19</v>
      </c>
      <c r="AU37" s="7">
        <v>804</v>
      </c>
      <c r="AV37" s="7">
        <v>455</v>
      </c>
      <c r="AW37" s="7">
        <v>349</v>
      </c>
      <c r="AX37" s="7">
        <v>736</v>
      </c>
      <c r="AY37" s="7">
        <v>804</v>
      </c>
      <c r="AZ37" s="7">
        <v>804</v>
      </c>
      <c r="BA37" s="7">
        <v>0</v>
      </c>
      <c r="BB37" s="7">
        <v>1</v>
      </c>
      <c r="BC37" s="7">
        <v>0</v>
      </c>
      <c r="BD37" s="7">
        <v>9</v>
      </c>
      <c r="BE37" s="7">
        <v>3</v>
      </c>
      <c r="BF37" s="7">
        <v>24</v>
      </c>
      <c r="BG37" s="7">
        <v>13</v>
      </c>
      <c r="BH37" s="7">
        <v>24</v>
      </c>
      <c r="BI37" s="7">
        <v>20</v>
      </c>
      <c r="BJ37" s="7">
        <v>21</v>
      </c>
      <c r="BK37" s="7">
        <v>20</v>
      </c>
      <c r="BL37" s="7">
        <v>17</v>
      </c>
      <c r="BM37" s="7">
        <v>11</v>
      </c>
      <c r="BN37" s="7">
        <v>18</v>
      </c>
      <c r="BO37" s="7">
        <v>14</v>
      </c>
      <c r="BP37" s="7">
        <v>18</v>
      </c>
      <c r="BQ37" s="7">
        <v>15</v>
      </c>
      <c r="BR37" s="7">
        <v>22</v>
      </c>
      <c r="BS37" s="7">
        <v>14</v>
      </c>
      <c r="BT37" s="7">
        <v>34</v>
      </c>
      <c r="BU37" s="7">
        <v>25</v>
      </c>
      <c r="BV37" s="7">
        <v>46</v>
      </c>
      <c r="BW37" s="7">
        <v>20</v>
      </c>
      <c r="BX37" s="7">
        <v>46</v>
      </c>
      <c r="BY37" s="7">
        <v>25</v>
      </c>
      <c r="BZ37" s="7">
        <v>46</v>
      </c>
      <c r="CA37" s="7">
        <v>41</v>
      </c>
      <c r="CB37" s="7">
        <v>129</v>
      </c>
      <c r="CC37" s="7">
        <v>128</v>
      </c>
      <c r="CD37" s="7">
        <v>439</v>
      </c>
      <c r="CE37" s="7">
        <v>338</v>
      </c>
      <c r="CF37" s="7">
        <v>1</v>
      </c>
      <c r="CG37" s="7">
        <v>2</v>
      </c>
      <c r="CH37" s="7">
        <v>1893</v>
      </c>
      <c r="CI37" s="7">
        <v>288</v>
      </c>
      <c r="CJ37" s="7">
        <v>11750</v>
      </c>
      <c r="CK37" s="7">
        <v>1448</v>
      </c>
      <c r="CL37" s="7">
        <v>51</v>
      </c>
      <c r="CM37" s="7">
        <v>134</v>
      </c>
      <c r="CN37" s="7">
        <v>204</v>
      </c>
      <c r="CO37" s="7">
        <v>313</v>
      </c>
      <c r="CP37" s="7">
        <v>325</v>
      </c>
      <c r="CQ37" s="7">
        <v>1154</v>
      </c>
      <c r="CR37" s="7">
        <v>1816</v>
      </c>
      <c r="CS37" s="7">
        <v>6671</v>
      </c>
      <c r="CT37" s="7">
        <v>1567</v>
      </c>
      <c r="CU37" s="7">
        <v>475</v>
      </c>
      <c r="CV37" s="7">
        <v>161</v>
      </c>
      <c r="CW37" s="7">
        <v>293</v>
      </c>
      <c r="CX37" s="7">
        <v>7</v>
      </c>
      <c r="CY37" s="7">
        <v>6650</v>
      </c>
      <c r="CZ37" s="7">
        <v>6295</v>
      </c>
      <c r="DA37" s="7">
        <v>27</v>
      </c>
      <c r="DB37" s="7">
        <v>51</v>
      </c>
      <c r="DC37" s="7">
        <v>0</v>
      </c>
      <c r="DD37" s="7">
        <v>3597</v>
      </c>
      <c r="DE37" s="7">
        <v>4642</v>
      </c>
      <c r="DF37" s="7">
        <v>4962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33</v>
      </c>
      <c r="DM37" s="7">
        <v>13</v>
      </c>
      <c r="DN37" s="7">
        <v>7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43</v>
      </c>
      <c r="DU37" s="7">
        <v>53</v>
      </c>
      <c r="DV37" s="7">
        <v>49</v>
      </c>
      <c r="DW37" s="7">
        <v>43</v>
      </c>
      <c r="DX37" s="7">
        <v>37</v>
      </c>
      <c r="DY37" s="7">
        <v>22</v>
      </c>
      <c r="DZ37" s="7">
        <v>16</v>
      </c>
      <c r="EA37" s="7">
        <v>21</v>
      </c>
      <c r="EB37" s="7">
        <v>2</v>
      </c>
      <c r="EC37" s="7">
        <v>9</v>
      </c>
      <c r="ED37" s="7">
        <v>4</v>
      </c>
      <c r="EE37" s="7">
        <v>7</v>
      </c>
      <c r="EF37" s="7">
        <v>14</v>
      </c>
      <c r="EG37" s="7">
        <v>20</v>
      </c>
      <c r="EH37" s="7">
        <v>72</v>
      </c>
      <c r="EI37" s="7">
        <v>82</v>
      </c>
      <c r="EJ37" s="7">
        <v>53</v>
      </c>
      <c r="EK37" s="7">
        <v>20</v>
      </c>
      <c r="EL37" s="7">
        <v>10</v>
      </c>
      <c r="EM37" s="7">
        <v>7</v>
      </c>
      <c r="EN37" s="7">
        <v>23</v>
      </c>
      <c r="EO37" s="7">
        <v>3346</v>
      </c>
      <c r="EP37" s="7">
        <v>3339</v>
      </c>
      <c r="EQ37" s="7">
        <v>7</v>
      </c>
      <c r="ER37" s="7">
        <v>1010</v>
      </c>
      <c r="ES37" s="7">
        <v>254</v>
      </c>
      <c r="ET37" s="7">
        <v>251</v>
      </c>
      <c r="EU37" s="7">
        <v>3</v>
      </c>
      <c r="EV37" s="7">
        <v>4243</v>
      </c>
      <c r="EW37" s="134">
        <v>85.046506081999993</v>
      </c>
      <c r="EX37" s="134">
        <v>2.5757214405000002</v>
      </c>
      <c r="EY37" s="134">
        <v>3.7920343430000001</v>
      </c>
      <c r="EZ37" s="134">
        <v>8.4426424993999998</v>
      </c>
      <c r="FA37" s="134">
        <v>0.14309563559999999</v>
      </c>
      <c r="FB37" s="7">
        <v>176</v>
      </c>
      <c r="FC37" s="7">
        <v>2009</v>
      </c>
      <c r="FD37" s="7">
        <v>145</v>
      </c>
      <c r="FE37" s="7">
        <v>887</v>
      </c>
      <c r="FF37" s="7">
        <v>0</v>
      </c>
      <c r="FG37" s="7">
        <v>290</v>
      </c>
      <c r="FH37" s="7">
        <v>89</v>
      </c>
      <c r="FI37" s="134">
        <v>90.555688051999994</v>
      </c>
      <c r="FJ37" s="134">
        <v>3.7920343430000001</v>
      </c>
      <c r="FK37" s="134">
        <v>4.6506081564999997</v>
      </c>
      <c r="FL37" s="134">
        <v>1.0016694491</v>
      </c>
      <c r="FM37" s="151">
        <v>5129</v>
      </c>
      <c r="FN37" s="151">
        <v>1445</v>
      </c>
      <c r="FO37" s="7">
        <v>586</v>
      </c>
      <c r="FP37" s="7">
        <v>28</v>
      </c>
      <c r="FQ37" s="7">
        <v>7</v>
      </c>
      <c r="FR37" s="7">
        <v>0</v>
      </c>
      <c r="FS37" s="7">
        <v>4488</v>
      </c>
      <c r="FT37" s="7">
        <v>5</v>
      </c>
      <c r="FU37" s="7">
        <v>20</v>
      </c>
      <c r="FV37" s="7">
        <v>12</v>
      </c>
      <c r="FW37" s="7">
        <v>5304</v>
      </c>
      <c r="FX37" s="7">
        <v>1306</v>
      </c>
      <c r="FY37" s="7">
        <v>615</v>
      </c>
      <c r="FZ37" s="7">
        <v>22</v>
      </c>
      <c r="GA37" s="7">
        <v>4</v>
      </c>
      <c r="GB37" s="7">
        <v>2</v>
      </c>
      <c r="GC37" s="7">
        <v>4647</v>
      </c>
      <c r="GD37" s="7">
        <v>5</v>
      </c>
      <c r="GE37" s="7">
        <v>15</v>
      </c>
      <c r="GF37" s="7">
        <v>5</v>
      </c>
      <c r="GG37" s="7">
        <v>641</v>
      </c>
      <c r="GH37" s="7">
        <v>740</v>
      </c>
      <c r="GI37" s="7">
        <v>809</v>
      </c>
      <c r="GJ37" s="7">
        <v>615</v>
      </c>
      <c r="GK37" s="7">
        <v>321</v>
      </c>
      <c r="GL37" s="7">
        <v>292</v>
      </c>
      <c r="GM37" s="7">
        <v>282</v>
      </c>
      <c r="GN37" s="7">
        <v>226</v>
      </c>
      <c r="GO37" s="7">
        <v>228</v>
      </c>
      <c r="GP37" s="7">
        <v>208</v>
      </c>
      <c r="GQ37" s="7">
        <v>177</v>
      </c>
      <c r="GR37" s="7">
        <v>152</v>
      </c>
      <c r="GS37" s="7">
        <v>119</v>
      </c>
      <c r="GT37" s="7">
        <v>100</v>
      </c>
      <c r="GU37" s="7">
        <v>104</v>
      </c>
      <c r="GV37" s="7">
        <v>48</v>
      </c>
      <c r="GW37" s="7">
        <v>31</v>
      </c>
      <c r="GX37" s="7">
        <v>34</v>
      </c>
      <c r="GY37" s="7">
        <v>641</v>
      </c>
      <c r="GZ37" s="7">
        <v>699</v>
      </c>
      <c r="HA37" s="7">
        <v>709</v>
      </c>
      <c r="HB37" s="7">
        <v>574</v>
      </c>
      <c r="HC37" s="7">
        <v>414</v>
      </c>
      <c r="HD37" s="7">
        <v>355</v>
      </c>
      <c r="HE37" s="7">
        <v>335</v>
      </c>
      <c r="HF37" s="7">
        <v>306</v>
      </c>
      <c r="HG37" s="7">
        <v>230</v>
      </c>
      <c r="HH37" s="7">
        <v>239</v>
      </c>
      <c r="HI37" s="7">
        <v>169</v>
      </c>
      <c r="HJ37" s="7">
        <v>139</v>
      </c>
      <c r="HK37" s="7">
        <v>131</v>
      </c>
      <c r="HL37" s="7">
        <v>120</v>
      </c>
      <c r="HM37" s="7">
        <v>91</v>
      </c>
      <c r="HN37" s="7">
        <v>56</v>
      </c>
      <c r="HO37" s="7">
        <v>43</v>
      </c>
      <c r="HP37" s="7">
        <v>49</v>
      </c>
      <c r="HQ37" s="7">
        <v>2176</v>
      </c>
      <c r="HR37" s="7">
        <v>1</v>
      </c>
      <c r="HS37" s="7">
        <v>0</v>
      </c>
      <c r="HT37" s="7">
        <v>0</v>
      </c>
      <c r="HU37" s="7">
        <v>0</v>
      </c>
      <c r="HV37" s="7">
        <v>1</v>
      </c>
      <c r="HW37" s="7">
        <v>0</v>
      </c>
      <c r="HX37" s="7">
        <v>4</v>
      </c>
      <c r="HY37" s="7">
        <v>51</v>
      </c>
      <c r="HZ37" s="7">
        <v>134</v>
      </c>
      <c r="IA37" s="7">
        <v>204</v>
      </c>
      <c r="IB37" s="7">
        <v>313</v>
      </c>
      <c r="IC37" s="7">
        <v>325</v>
      </c>
      <c r="ID37" s="7">
        <v>328</v>
      </c>
      <c r="IE37" s="7">
        <v>249</v>
      </c>
      <c r="IF37" s="7">
        <v>191</v>
      </c>
      <c r="IG37" s="7">
        <v>385</v>
      </c>
      <c r="IH37" s="7">
        <v>58</v>
      </c>
      <c r="II37" s="7">
        <v>727</v>
      </c>
      <c r="IJ37" s="7">
        <v>710</v>
      </c>
      <c r="IK37" s="7">
        <v>357</v>
      </c>
      <c r="IL37" s="7">
        <v>161</v>
      </c>
      <c r="IM37" s="7">
        <v>92</v>
      </c>
      <c r="IN37" s="7">
        <v>35</v>
      </c>
      <c r="IO37" s="7">
        <v>16</v>
      </c>
      <c r="IP37" s="7">
        <v>11</v>
      </c>
      <c r="IQ37" s="7">
        <v>897</v>
      </c>
      <c r="IR37" s="7">
        <v>801</v>
      </c>
      <c r="IS37" s="7">
        <v>305</v>
      </c>
      <c r="IT37" s="7">
        <v>124</v>
      </c>
      <c r="IU37" s="7">
        <v>41</v>
      </c>
      <c r="IV37" s="7">
        <v>243</v>
      </c>
      <c r="IW37" s="7">
        <v>189</v>
      </c>
      <c r="IX37" s="7">
        <v>11</v>
      </c>
      <c r="IY37" s="7">
        <v>15</v>
      </c>
      <c r="IZ37" s="7">
        <v>3</v>
      </c>
      <c r="JA37" s="7">
        <v>1710</v>
      </c>
      <c r="JB37" s="7">
        <v>309</v>
      </c>
      <c r="JC37" s="7">
        <v>1259</v>
      </c>
      <c r="JD37" s="7">
        <v>3</v>
      </c>
      <c r="JE37" s="7">
        <v>4</v>
      </c>
      <c r="JF37" s="151">
        <v>2144.974851078759</v>
      </c>
      <c r="JG37" s="151">
        <v>28.753900160840065</v>
      </c>
      <c r="JH37" s="7">
        <v>190</v>
      </c>
      <c r="JI37" s="7">
        <v>1928</v>
      </c>
      <c r="JJ37" s="7">
        <v>52</v>
      </c>
      <c r="JK37" s="7">
        <v>10</v>
      </c>
      <c r="JL37" s="7">
        <v>560</v>
      </c>
      <c r="JM37" s="7">
        <v>370</v>
      </c>
      <c r="JN37" s="7">
        <v>196</v>
      </c>
      <c r="JO37" s="7">
        <v>1489</v>
      </c>
      <c r="JP37" s="7">
        <v>1300</v>
      </c>
      <c r="JQ37" s="7">
        <v>46</v>
      </c>
      <c r="JR37" s="7">
        <v>298</v>
      </c>
      <c r="JS37" s="7">
        <v>340</v>
      </c>
      <c r="JT37" s="7">
        <v>4</v>
      </c>
      <c r="JU37" s="151">
        <v>43.791859440359872</v>
      </c>
      <c r="JV37" s="151">
        <v>1278.0612864594084</v>
      </c>
      <c r="JW37" s="151">
        <v>820.14716378304161</v>
      </c>
      <c r="JX37" s="151">
        <v>2.9745413959489722</v>
      </c>
      <c r="JY37" s="7">
        <v>2114</v>
      </c>
      <c r="JZ37" s="7">
        <v>13164</v>
      </c>
      <c r="KA37" s="7">
        <v>7</v>
      </c>
      <c r="KB37" s="7">
        <v>0</v>
      </c>
      <c r="KC37" s="7">
        <v>0</v>
      </c>
      <c r="KD37" s="7">
        <v>0</v>
      </c>
      <c r="KE37" s="7">
        <v>6</v>
      </c>
      <c r="KF37" s="7">
        <v>0</v>
      </c>
      <c r="KG37" s="7">
        <v>24</v>
      </c>
      <c r="KH37" s="7">
        <v>1064</v>
      </c>
      <c r="KI37" s="7">
        <v>11794</v>
      </c>
      <c r="KJ37" s="7">
        <v>273</v>
      </c>
      <c r="KK37" s="7">
        <v>61</v>
      </c>
      <c r="KL37" s="7">
        <v>265</v>
      </c>
      <c r="KM37" s="7">
        <v>7734</v>
      </c>
      <c r="KN37" s="7">
        <v>4963</v>
      </c>
      <c r="KO37" s="7">
        <v>18</v>
      </c>
      <c r="KP37" s="7">
        <v>12980</v>
      </c>
      <c r="KQ37" s="7">
        <v>174</v>
      </c>
      <c r="KR37" s="7">
        <v>2230</v>
      </c>
      <c r="KS37" s="7">
        <v>2230</v>
      </c>
      <c r="KT37" s="7">
        <v>439</v>
      </c>
      <c r="KU37" s="7">
        <v>149</v>
      </c>
      <c r="KV37" s="7">
        <v>416</v>
      </c>
      <c r="KW37" s="7">
        <v>0</v>
      </c>
      <c r="KX37" s="7">
        <v>462</v>
      </c>
      <c r="KY37" s="7">
        <v>145</v>
      </c>
      <c r="KZ37" s="7">
        <v>392</v>
      </c>
      <c r="LA37" s="7">
        <v>0</v>
      </c>
      <c r="LB37" s="7">
        <v>1338</v>
      </c>
      <c r="LC37" s="7">
        <v>1198</v>
      </c>
      <c r="LD37" s="7">
        <v>249</v>
      </c>
      <c r="LE37" s="7">
        <v>774</v>
      </c>
      <c r="LF37" s="7">
        <v>7840</v>
      </c>
      <c r="LG37" s="7">
        <v>15</v>
      </c>
      <c r="LH37" s="7">
        <v>1998</v>
      </c>
      <c r="LI37" s="7">
        <v>266</v>
      </c>
      <c r="LJ37" s="7">
        <v>917</v>
      </c>
      <c r="LK37" s="7">
        <v>0</v>
      </c>
      <c r="LL37" s="7">
        <v>362</v>
      </c>
      <c r="LM37" s="7">
        <v>91</v>
      </c>
      <c r="LN37" s="7">
        <v>17</v>
      </c>
      <c r="LO37" s="7">
        <v>1988</v>
      </c>
      <c r="LP37" s="7">
        <v>258</v>
      </c>
      <c r="LQ37" s="7">
        <v>804</v>
      </c>
      <c r="LR37" s="7">
        <v>1</v>
      </c>
      <c r="LS37" s="7">
        <v>317</v>
      </c>
      <c r="LT37" s="7">
        <v>56</v>
      </c>
      <c r="LU37" s="232">
        <v>6.0270995781999996</v>
      </c>
      <c r="LV37" s="232">
        <v>6.4703577958</v>
      </c>
      <c r="LW37" s="232">
        <v>5.6021532297999999</v>
      </c>
      <c r="LX37" s="7">
        <v>2180</v>
      </c>
      <c r="LY37" s="7">
        <v>13192</v>
      </c>
    </row>
    <row r="38" spans="1:337" x14ac:dyDescent="0.25">
      <c r="A38" t="s">
        <v>280</v>
      </c>
      <c r="B38" t="s">
        <v>281</v>
      </c>
      <c r="C38" s="7" t="s">
        <v>390</v>
      </c>
      <c r="D38" t="s">
        <v>358</v>
      </c>
      <c r="F38" t="e">
        <f t="shared" si="2"/>
        <v>#VALUE!</v>
      </c>
      <c r="G38" t="e">
        <f t="shared" si="3"/>
        <v>#VALUE!</v>
      </c>
      <c r="H38" t="s">
        <v>358</v>
      </c>
      <c r="I38" t="s">
        <v>358</v>
      </c>
      <c r="J38" t="s">
        <v>358</v>
      </c>
      <c r="K38" t="s">
        <v>358</v>
      </c>
      <c r="AP38" t="s">
        <v>358</v>
      </c>
      <c r="AQ38" t="s">
        <v>358</v>
      </c>
      <c r="AR38" t="s">
        <v>358</v>
      </c>
      <c r="AS38" t="s">
        <v>358</v>
      </c>
      <c r="AT38" t="s">
        <v>358</v>
      </c>
      <c r="AU38" s="7">
        <v>0</v>
      </c>
      <c r="AV38" s="7">
        <v>0</v>
      </c>
      <c r="AW38" s="7">
        <v>0</v>
      </c>
      <c r="AX38" s="7" t="s">
        <v>390</v>
      </c>
      <c r="AY38" s="7" t="s">
        <v>390</v>
      </c>
      <c r="AZ38" s="7" t="s">
        <v>390</v>
      </c>
      <c r="BA38" s="7" t="s">
        <v>390</v>
      </c>
      <c r="BB38" s="7">
        <v>103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134">
        <v>0</v>
      </c>
      <c r="EX38" s="134">
        <v>0</v>
      </c>
      <c r="EY38" s="134">
        <v>0</v>
      </c>
      <c r="EZ38" s="134">
        <v>0</v>
      </c>
      <c r="FA38" s="134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134">
        <v>0</v>
      </c>
      <c r="FJ38" s="134">
        <v>0</v>
      </c>
      <c r="FK38" s="134">
        <v>0</v>
      </c>
      <c r="FL38" s="134">
        <v>0</v>
      </c>
      <c r="FM38" s="151">
        <v>0</v>
      </c>
      <c r="FN38" s="151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  <c r="HT38" s="7">
        <v>0</v>
      </c>
      <c r="HU38" s="7">
        <v>0</v>
      </c>
      <c r="HV38" s="7">
        <v>0</v>
      </c>
      <c r="HW38" s="7">
        <v>0</v>
      </c>
      <c r="HX38" s="7">
        <v>0</v>
      </c>
      <c r="HY38" s="7">
        <v>0</v>
      </c>
      <c r="HZ38" s="7">
        <v>0</v>
      </c>
      <c r="IA38" s="7">
        <v>0</v>
      </c>
      <c r="IB38" s="7">
        <v>0</v>
      </c>
      <c r="IC38" s="7">
        <v>0</v>
      </c>
      <c r="ID38" s="7">
        <v>0</v>
      </c>
      <c r="IE38" s="7">
        <v>0</v>
      </c>
      <c r="IF38" s="7">
        <v>0</v>
      </c>
      <c r="IG38" s="7">
        <v>0</v>
      </c>
      <c r="IH38" s="7">
        <v>0</v>
      </c>
      <c r="II38" s="7">
        <v>0</v>
      </c>
      <c r="IJ38" s="7">
        <v>0</v>
      </c>
      <c r="IK38" s="7">
        <v>0</v>
      </c>
      <c r="IL38" s="7">
        <v>0</v>
      </c>
      <c r="IM38" s="7">
        <v>0</v>
      </c>
      <c r="IN38" s="7">
        <v>0</v>
      </c>
      <c r="IO38" s="7">
        <v>0</v>
      </c>
      <c r="IP38" s="7">
        <v>0</v>
      </c>
      <c r="IQ38" s="7">
        <v>0</v>
      </c>
      <c r="IR38" s="7">
        <v>0</v>
      </c>
      <c r="IS38" s="7">
        <v>0</v>
      </c>
      <c r="IT38" s="7">
        <v>0</v>
      </c>
      <c r="IU38" s="7">
        <v>0</v>
      </c>
      <c r="IV38" s="7">
        <v>0</v>
      </c>
      <c r="IW38" s="7">
        <v>0</v>
      </c>
      <c r="IX38" s="7">
        <v>0</v>
      </c>
      <c r="IY38" s="7">
        <v>0</v>
      </c>
      <c r="IZ38" s="7">
        <v>0</v>
      </c>
      <c r="JA38" s="7">
        <v>0</v>
      </c>
      <c r="JB38" s="7">
        <v>0</v>
      </c>
      <c r="JC38" s="7">
        <v>0</v>
      </c>
      <c r="JD38" s="7">
        <v>0</v>
      </c>
      <c r="JE38" s="7">
        <v>0</v>
      </c>
      <c r="JF38" s="151">
        <v>0</v>
      </c>
      <c r="JG38" s="151">
        <v>0</v>
      </c>
      <c r="JH38" s="7">
        <v>0</v>
      </c>
      <c r="JI38" s="7">
        <v>0</v>
      </c>
      <c r="JJ38" s="7">
        <v>0</v>
      </c>
      <c r="JK38" s="7">
        <v>0</v>
      </c>
      <c r="JL38" s="7">
        <v>0</v>
      </c>
      <c r="JM38" s="7">
        <v>0</v>
      </c>
      <c r="JN38" s="7">
        <v>0</v>
      </c>
      <c r="JO38" s="7">
        <v>0</v>
      </c>
      <c r="JP38" s="7">
        <v>0</v>
      </c>
      <c r="JQ38" s="7">
        <v>0</v>
      </c>
      <c r="JR38" s="7">
        <v>0</v>
      </c>
      <c r="JS38" s="7">
        <v>0</v>
      </c>
      <c r="JT38" s="7">
        <v>0</v>
      </c>
      <c r="JU38" s="151">
        <v>0</v>
      </c>
      <c r="JV38" s="151">
        <v>0</v>
      </c>
      <c r="JW38" s="151">
        <v>0</v>
      </c>
      <c r="JX38" s="151">
        <v>0</v>
      </c>
      <c r="JY38" s="7">
        <v>0</v>
      </c>
      <c r="JZ38" s="7">
        <v>0</v>
      </c>
      <c r="KA38" s="7">
        <v>0</v>
      </c>
      <c r="KB38" s="7">
        <v>0</v>
      </c>
      <c r="KC38" s="7">
        <v>0</v>
      </c>
      <c r="KD38" s="7">
        <v>0</v>
      </c>
      <c r="KE38" s="7">
        <v>0</v>
      </c>
      <c r="KF38" s="7">
        <v>0</v>
      </c>
      <c r="KG38" s="7">
        <v>0</v>
      </c>
      <c r="KH38" s="7">
        <v>0</v>
      </c>
      <c r="KI38" s="7">
        <v>0</v>
      </c>
      <c r="KJ38" s="7">
        <v>0</v>
      </c>
      <c r="KK38" s="7">
        <v>0</v>
      </c>
      <c r="KL38" s="7">
        <v>0</v>
      </c>
      <c r="KM38" s="7">
        <v>0</v>
      </c>
      <c r="KN38" s="7">
        <v>0</v>
      </c>
      <c r="KO38" s="7">
        <v>0</v>
      </c>
      <c r="KP38" s="7">
        <v>0</v>
      </c>
      <c r="KQ38" s="7">
        <v>0</v>
      </c>
      <c r="KR38" s="7">
        <v>0</v>
      </c>
      <c r="KS38" s="7">
        <v>0</v>
      </c>
      <c r="KT38" s="7">
        <v>0</v>
      </c>
      <c r="KU38" s="7">
        <v>0</v>
      </c>
      <c r="KV38" s="7">
        <v>0</v>
      </c>
      <c r="KW38" s="7">
        <v>0</v>
      </c>
      <c r="KX38" s="7">
        <v>0</v>
      </c>
      <c r="KY38" s="7">
        <v>0</v>
      </c>
      <c r="KZ38" s="7">
        <v>0</v>
      </c>
      <c r="LA38" s="7">
        <v>0</v>
      </c>
      <c r="LB38" s="7">
        <v>0</v>
      </c>
      <c r="LC38" s="7">
        <v>0</v>
      </c>
      <c r="LD38" s="7">
        <v>0</v>
      </c>
      <c r="LE38" s="7">
        <v>0</v>
      </c>
      <c r="LF38" s="7">
        <v>0</v>
      </c>
      <c r="LG38" s="7">
        <v>0</v>
      </c>
      <c r="LH38" s="7">
        <v>0</v>
      </c>
      <c r="LI38" s="7">
        <v>0</v>
      </c>
      <c r="LJ38" s="7">
        <v>0</v>
      </c>
      <c r="LK38" s="7">
        <v>0</v>
      </c>
      <c r="LL38" s="7">
        <v>0</v>
      </c>
      <c r="LM38" s="7">
        <v>0</v>
      </c>
      <c r="LN38" s="7">
        <v>0</v>
      </c>
      <c r="LO38" s="7">
        <v>0</v>
      </c>
      <c r="LP38" s="7">
        <v>0</v>
      </c>
      <c r="LQ38" s="7">
        <v>0</v>
      </c>
      <c r="LR38" s="7">
        <v>0</v>
      </c>
      <c r="LS38" s="7">
        <v>0</v>
      </c>
      <c r="LT38" s="7">
        <v>0</v>
      </c>
      <c r="LU38" s="232">
        <v>0</v>
      </c>
      <c r="LV38" s="232">
        <v>0</v>
      </c>
      <c r="LW38" s="232">
        <v>0</v>
      </c>
      <c r="LX38" s="7">
        <v>0</v>
      </c>
      <c r="LY38" s="7">
        <v>0</v>
      </c>
    </row>
    <row r="39" spans="1:337" x14ac:dyDescent="0.25">
      <c r="A39" t="s">
        <v>100</v>
      </c>
      <c r="B39" t="s">
        <v>101</v>
      </c>
      <c r="C39" s="7">
        <v>28064</v>
      </c>
      <c r="D39">
        <v>30068</v>
      </c>
      <c r="F39">
        <f t="shared" si="2"/>
        <v>-30068</v>
      </c>
      <c r="G39">
        <f t="shared" si="3"/>
        <v>-100</v>
      </c>
      <c r="H39">
        <v>14786</v>
      </c>
      <c r="I39">
        <v>15282</v>
      </c>
      <c r="J39">
        <v>12289</v>
      </c>
      <c r="K39">
        <v>17779</v>
      </c>
      <c r="L39" s="7">
        <v>1739</v>
      </c>
      <c r="M39" s="7">
        <v>1812</v>
      </c>
      <c r="N39" s="7">
        <v>1864</v>
      </c>
      <c r="O39" s="7">
        <v>1719</v>
      </c>
      <c r="P39" s="7">
        <v>1134</v>
      </c>
      <c r="Q39" s="7">
        <v>875</v>
      </c>
      <c r="R39" s="7">
        <v>934</v>
      </c>
      <c r="S39" s="7">
        <v>829</v>
      </c>
      <c r="T39" s="7">
        <v>723</v>
      </c>
      <c r="U39" s="7">
        <v>654</v>
      </c>
      <c r="V39" s="7">
        <v>615</v>
      </c>
      <c r="W39" s="7">
        <v>526</v>
      </c>
      <c r="X39" s="7">
        <v>405</v>
      </c>
      <c r="Y39" s="7">
        <v>954</v>
      </c>
      <c r="Z39" s="7">
        <v>3</v>
      </c>
      <c r="AA39" s="7">
        <v>1672</v>
      </c>
      <c r="AB39" s="7">
        <v>1797</v>
      </c>
      <c r="AC39" s="7">
        <v>1843</v>
      </c>
      <c r="AD39" s="7">
        <v>1771</v>
      </c>
      <c r="AE39" s="7">
        <v>1298</v>
      </c>
      <c r="AF39" s="7">
        <v>1098</v>
      </c>
      <c r="AG39" s="7">
        <v>1005</v>
      </c>
      <c r="AH39" s="7">
        <v>895</v>
      </c>
      <c r="AI39" s="7">
        <v>749</v>
      </c>
      <c r="AJ39" s="7">
        <v>707</v>
      </c>
      <c r="AK39" s="7">
        <v>640</v>
      </c>
      <c r="AL39" s="7">
        <v>529</v>
      </c>
      <c r="AM39" s="7">
        <v>384</v>
      </c>
      <c r="AN39" s="7">
        <v>890</v>
      </c>
      <c r="AO39" s="7">
        <v>4</v>
      </c>
      <c r="AP39">
        <v>29258</v>
      </c>
      <c r="AQ39">
        <v>545</v>
      </c>
      <c r="AR39">
        <v>48</v>
      </c>
      <c r="AS39">
        <v>142</v>
      </c>
      <c r="AT39">
        <v>75</v>
      </c>
      <c r="AU39" s="7">
        <v>394</v>
      </c>
      <c r="AV39" s="7">
        <v>245</v>
      </c>
      <c r="AW39" s="7">
        <v>149</v>
      </c>
      <c r="AX39" s="7">
        <v>158</v>
      </c>
      <c r="AY39" s="7">
        <v>394</v>
      </c>
      <c r="AZ39" s="7">
        <v>365</v>
      </c>
      <c r="BA39" s="7">
        <v>29</v>
      </c>
      <c r="BB39" s="7">
        <v>1</v>
      </c>
      <c r="BC39" s="7">
        <v>1</v>
      </c>
      <c r="BD39" s="7">
        <v>7</v>
      </c>
      <c r="BE39" s="7">
        <v>6</v>
      </c>
      <c r="BF39" s="7">
        <v>8</v>
      </c>
      <c r="BG39" s="7">
        <v>12</v>
      </c>
      <c r="BH39" s="7">
        <v>17</v>
      </c>
      <c r="BI39" s="7">
        <v>13</v>
      </c>
      <c r="BJ39" s="7">
        <v>20</v>
      </c>
      <c r="BK39" s="7">
        <v>18</v>
      </c>
      <c r="BL39" s="7">
        <v>10</v>
      </c>
      <c r="BM39" s="7">
        <v>4</v>
      </c>
      <c r="BN39" s="7">
        <v>7</v>
      </c>
      <c r="BO39" s="7">
        <v>7</v>
      </c>
      <c r="BP39" s="7">
        <v>11</v>
      </c>
      <c r="BQ39" s="7">
        <v>5</v>
      </c>
      <c r="BR39" s="7">
        <v>16</v>
      </c>
      <c r="BS39" s="7">
        <v>12</v>
      </c>
      <c r="BT39" s="7">
        <v>16</v>
      </c>
      <c r="BU39" s="7">
        <v>15</v>
      </c>
      <c r="BV39" s="7">
        <v>24</v>
      </c>
      <c r="BW39" s="7">
        <v>16</v>
      </c>
      <c r="BX39" s="7">
        <v>20</v>
      </c>
      <c r="BY39" s="7">
        <v>13</v>
      </c>
      <c r="BZ39" s="7">
        <v>23</v>
      </c>
      <c r="CA39" s="7">
        <v>4</v>
      </c>
      <c r="CB39" s="7">
        <v>65</v>
      </c>
      <c r="CC39" s="7">
        <v>23</v>
      </c>
      <c r="CD39" s="7">
        <v>226</v>
      </c>
      <c r="CE39" s="7">
        <v>136</v>
      </c>
      <c r="CF39" s="7">
        <v>0</v>
      </c>
      <c r="CG39" s="7">
        <v>0</v>
      </c>
      <c r="CH39" s="7">
        <v>5194</v>
      </c>
      <c r="CI39" s="7">
        <v>1657</v>
      </c>
      <c r="CJ39" s="7">
        <v>23891</v>
      </c>
      <c r="CK39" s="7">
        <v>6171</v>
      </c>
      <c r="CL39" s="7">
        <v>561</v>
      </c>
      <c r="CM39" s="7">
        <v>865</v>
      </c>
      <c r="CN39" s="7">
        <v>1166</v>
      </c>
      <c r="CO39" s="7">
        <v>1345</v>
      </c>
      <c r="CP39" s="7">
        <v>1118</v>
      </c>
      <c r="CQ39" s="7">
        <v>1796</v>
      </c>
      <c r="CR39" s="7">
        <v>4751</v>
      </c>
      <c r="CS39" s="7">
        <v>13522</v>
      </c>
      <c r="CT39" s="7">
        <v>2786</v>
      </c>
      <c r="CU39" s="7">
        <v>652</v>
      </c>
      <c r="CV39" s="7">
        <v>240</v>
      </c>
      <c r="CW39" s="7">
        <v>972</v>
      </c>
      <c r="CX39" s="7">
        <v>181</v>
      </c>
      <c r="CY39" s="7">
        <v>16841</v>
      </c>
      <c r="CZ39" s="7">
        <v>11346</v>
      </c>
      <c r="DA39" s="7">
        <v>696</v>
      </c>
      <c r="DB39" s="7">
        <v>561</v>
      </c>
      <c r="DC39" s="7">
        <v>36</v>
      </c>
      <c r="DD39" s="7">
        <v>9650</v>
      </c>
      <c r="DE39" s="7">
        <v>3823</v>
      </c>
      <c r="DF39" s="7">
        <v>4306</v>
      </c>
      <c r="DG39" s="7">
        <v>2719</v>
      </c>
      <c r="DH39" s="7">
        <v>9570</v>
      </c>
      <c r="DI39" s="7">
        <v>0</v>
      </c>
      <c r="DJ39" s="7">
        <v>0</v>
      </c>
      <c r="DK39" s="7">
        <v>0</v>
      </c>
      <c r="DL39" s="7">
        <v>177</v>
      </c>
      <c r="DM39" s="7">
        <v>11</v>
      </c>
      <c r="DN39" s="7">
        <v>5</v>
      </c>
      <c r="DO39" s="7">
        <v>1</v>
      </c>
      <c r="DP39" s="7">
        <v>1</v>
      </c>
      <c r="DQ39" s="7">
        <v>0</v>
      </c>
      <c r="DR39" s="7">
        <v>0</v>
      </c>
      <c r="DS39" s="7">
        <v>0</v>
      </c>
      <c r="DT39" s="7">
        <v>242</v>
      </c>
      <c r="DU39" s="7">
        <v>223</v>
      </c>
      <c r="DV39" s="7">
        <v>198</v>
      </c>
      <c r="DW39" s="7">
        <v>167</v>
      </c>
      <c r="DX39" s="7">
        <v>73</v>
      </c>
      <c r="DY39" s="7">
        <v>41</v>
      </c>
      <c r="DZ39" s="7">
        <v>65</v>
      </c>
      <c r="EA39" s="7">
        <v>43</v>
      </c>
      <c r="EB39" s="7">
        <v>19</v>
      </c>
      <c r="EC39" s="7">
        <v>17</v>
      </c>
      <c r="ED39" s="7">
        <v>27</v>
      </c>
      <c r="EE39" s="7">
        <v>20</v>
      </c>
      <c r="EF39" s="7">
        <v>57</v>
      </c>
      <c r="EG39" s="7">
        <v>35</v>
      </c>
      <c r="EH39" s="7">
        <v>312</v>
      </c>
      <c r="EI39" s="7">
        <v>234</v>
      </c>
      <c r="EJ39" s="7">
        <v>66</v>
      </c>
      <c r="EK39" s="7">
        <v>61</v>
      </c>
      <c r="EL39" s="7">
        <v>21</v>
      </c>
      <c r="EM39" s="7">
        <v>24</v>
      </c>
      <c r="EN39" s="7">
        <v>46</v>
      </c>
      <c r="EO39" s="7">
        <v>7735</v>
      </c>
      <c r="EP39" s="7">
        <v>7435</v>
      </c>
      <c r="EQ39" s="7">
        <v>300</v>
      </c>
      <c r="ER39" s="7">
        <v>2706</v>
      </c>
      <c r="ES39" s="7">
        <v>1802</v>
      </c>
      <c r="ET39" s="7">
        <v>1773</v>
      </c>
      <c r="EU39" s="7">
        <v>29</v>
      </c>
      <c r="EV39" s="7">
        <v>9186</v>
      </c>
      <c r="EW39" s="134">
        <v>53.451207072000003</v>
      </c>
      <c r="EX39" s="134">
        <v>9.7359174884000002</v>
      </c>
      <c r="EY39" s="134">
        <v>11.300011334000001</v>
      </c>
      <c r="EZ39" s="134">
        <v>24.753485209000001</v>
      </c>
      <c r="FA39" s="134">
        <v>0.75937889609999998</v>
      </c>
      <c r="FB39" s="7">
        <v>1078</v>
      </c>
      <c r="FC39" s="7">
        <v>4317</v>
      </c>
      <c r="FD39" s="7">
        <v>354</v>
      </c>
      <c r="FE39" s="7">
        <v>1617</v>
      </c>
      <c r="FF39" s="7">
        <v>4</v>
      </c>
      <c r="FG39" s="7">
        <v>1282</v>
      </c>
      <c r="FH39" s="7">
        <v>867</v>
      </c>
      <c r="FI39" s="134">
        <v>40.643771960000002</v>
      </c>
      <c r="FJ39" s="134">
        <v>34.682080925000001</v>
      </c>
      <c r="FK39" s="134">
        <v>20.718576448</v>
      </c>
      <c r="FL39" s="134">
        <v>3.9555706676</v>
      </c>
      <c r="FM39" s="151">
        <v>8518</v>
      </c>
      <c r="FN39" s="151">
        <v>6237</v>
      </c>
      <c r="FO39" s="7">
        <v>1506</v>
      </c>
      <c r="FP39" s="7">
        <v>384</v>
      </c>
      <c r="FQ39" s="7">
        <v>201</v>
      </c>
      <c r="FR39" s="7">
        <v>10</v>
      </c>
      <c r="FS39" s="7">
        <v>6179</v>
      </c>
      <c r="FT39" s="7">
        <v>16</v>
      </c>
      <c r="FU39" s="7">
        <v>257</v>
      </c>
      <c r="FV39" s="7">
        <v>31</v>
      </c>
      <c r="FW39" s="7">
        <v>9645</v>
      </c>
      <c r="FX39" s="7">
        <v>5603</v>
      </c>
      <c r="FY39" s="7">
        <v>1513</v>
      </c>
      <c r="FZ39" s="7">
        <v>457</v>
      </c>
      <c r="GA39" s="7">
        <v>271</v>
      </c>
      <c r="GB39" s="7">
        <v>15</v>
      </c>
      <c r="GC39" s="7">
        <v>7179</v>
      </c>
      <c r="GD39" s="7">
        <v>18</v>
      </c>
      <c r="GE39" s="7">
        <v>221</v>
      </c>
      <c r="GF39" s="7">
        <v>34</v>
      </c>
      <c r="GG39" s="7">
        <v>1022</v>
      </c>
      <c r="GH39" s="7">
        <v>1116</v>
      </c>
      <c r="GI39" s="7">
        <v>1164</v>
      </c>
      <c r="GJ39" s="7">
        <v>956</v>
      </c>
      <c r="GK39" s="7">
        <v>520</v>
      </c>
      <c r="GL39" s="7">
        <v>436</v>
      </c>
      <c r="GM39" s="7">
        <v>509</v>
      </c>
      <c r="GN39" s="7">
        <v>474</v>
      </c>
      <c r="GO39" s="7">
        <v>429</v>
      </c>
      <c r="GP39" s="7">
        <v>384</v>
      </c>
      <c r="GQ39" s="7">
        <v>379</v>
      </c>
      <c r="GR39" s="7">
        <v>303</v>
      </c>
      <c r="GS39" s="7">
        <v>232</v>
      </c>
      <c r="GT39" s="7">
        <v>208</v>
      </c>
      <c r="GU39" s="7">
        <v>157</v>
      </c>
      <c r="GV39" s="7">
        <v>109</v>
      </c>
      <c r="GW39" s="7">
        <v>74</v>
      </c>
      <c r="GX39" s="7">
        <v>45</v>
      </c>
      <c r="GY39" s="7">
        <v>961</v>
      </c>
      <c r="GZ39" s="7">
        <v>1077</v>
      </c>
      <c r="HA39" s="7">
        <v>1162</v>
      </c>
      <c r="HB39" s="7">
        <v>1075</v>
      </c>
      <c r="HC39" s="7">
        <v>719</v>
      </c>
      <c r="HD39" s="7">
        <v>700</v>
      </c>
      <c r="HE39" s="7">
        <v>660</v>
      </c>
      <c r="HF39" s="7">
        <v>604</v>
      </c>
      <c r="HG39" s="7">
        <v>520</v>
      </c>
      <c r="HH39" s="7">
        <v>493</v>
      </c>
      <c r="HI39" s="7">
        <v>435</v>
      </c>
      <c r="HJ39" s="7">
        <v>366</v>
      </c>
      <c r="HK39" s="7">
        <v>266</v>
      </c>
      <c r="HL39" s="7">
        <v>196</v>
      </c>
      <c r="HM39" s="7">
        <v>175</v>
      </c>
      <c r="HN39" s="7">
        <v>118</v>
      </c>
      <c r="HO39" s="7">
        <v>65</v>
      </c>
      <c r="HP39" s="7">
        <v>51</v>
      </c>
      <c r="HQ39" s="7">
        <v>6803</v>
      </c>
      <c r="HR39" s="7">
        <v>9</v>
      </c>
      <c r="HS39" s="7">
        <v>15</v>
      </c>
      <c r="HT39" s="7">
        <v>0</v>
      </c>
      <c r="HU39" s="7">
        <v>0</v>
      </c>
      <c r="HV39" s="7">
        <v>0</v>
      </c>
      <c r="HW39" s="7">
        <v>0</v>
      </c>
      <c r="HX39" s="7">
        <v>25</v>
      </c>
      <c r="HY39" s="7">
        <v>561</v>
      </c>
      <c r="HZ39" s="7">
        <v>865</v>
      </c>
      <c r="IA39" s="7">
        <v>1166</v>
      </c>
      <c r="IB39" s="7">
        <v>1345</v>
      </c>
      <c r="IC39" s="7">
        <v>1118</v>
      </c>
      <c r="ID39" s="7">
        <v>734</v>
      </c>
      <c r="IE39" s="7">
        <v>399</v>
      </c>
      <c r="IF39" s="7">
        <v>294</v>
      </c>
      <c r="IG39" s="7">
        <v>369</v>
      </c>
      <c r="IH39" s="7">
        <v>732</v>
      </c>
      <c r="II39" s="7">
        <v>2599</v>
      </c>
      <c r="IJ39" s="7">
        <v>1947</v>
      </c>
      <c r="IK39" s="7">
        <v>992</v>
      </c>
      <c r="IL39" s="7">
        <v>362</v>
      </c>
      <c r="IM39" s="7">
        <v>111</v>
      </c>
      <c r="IN39" s="7">
        <v>44</v>
      </c>
      <c r="IO39" s="7">
        <v>17</v>
      </c>
      <c r="IP39" s="7">
        <v>8</v>
      </c>
      <c r="IQ39" s="7">
        <v>3698</v>
      </c>
      <c r="IR39" s="7">
        <v>2308</v>
      </c>
      <c r="IS39" s="7">
        <v>656</v>
      </c>
      <c r="IT39" s="7">
        <v>137</v>
      </c>
      <c r="IU39" s="7">
        <v>24</v>
      </c>
      <c r="IV39" s="7">
        <v>3051</v>
      </c>
      <c r="IW39" s="7">
        <v>1439</v>
      </c>
      <c r="IX39" s="7">
        <v>863</v>
      </c>
      <c r="IY39" s="7">
        <v>167</v>
      </c>
      <c r="IZ39" s="7">
        <v>1</v>
      </c>
      <c r="JA39" s="7">
        <v>1295</v>
      </c>
      <c r="JB39" s="7">
        <v>3296</v>
      </c>
      <c r="JC39" s="7">
        <v>2510</v>
      </c>
      <c r="JD39" s="7">
        <v>109</v>
      </c>
      <c r="JE39" s="7">
        <v>132</v>
      </c>
      <c r="JF39" s="151">
        <v>6296.0733805791424</v>
      </c>
      <c r="JG39" s="151">
        <v>516.41156406386278</v>
      </c>
      <c r="JH39" s="7">
        <v>1280</v>
      </c>
      <c r="JI39" s="7">
        <v>5314</v>
      </c>
      <c r="JJ39" s="7">
        <v>227</v>
      </c>
      <c r="JK39" s="7">
        <v>30</v>
      </c>
      <c r="JL39" s="7">
        <v>4230</v>
      </c>
      <c r="JM39" s="7">
        <v>1872</v>
      </c>
      <c r="JN39" s="7">
        <v>868</v>
      </c>
      <c r="JO39" s="7">
        <v>4433</v>
      </c>
      <c r="JP39" s="7">
        <v>4726</v>
      </c>
      <c r="JQ39" s="7">
        <v>478</v>
      </c>
      <c r="JR39" s="7">
        <v>828</v>
      </c>
      <c r="JS39" s="7">
        <v>1926</v>
      </c>
      <c r="JT39" s="7">
        <v>193</v>
      </c>
      <c r="JU39" s="151">
        <v>559.93963499775418</v>
      </c>
      <c r="JV39" s="151">
        <v>5413.6613876156489</v>
      </c>
      <c r="JW39" s="151">
        <v>312.90074027347026</v>
      </c>
      <c r="JX39" s="151">
        <v>9.5716176922693013</v>
      </c>
      <c r="JY39" s="7">
        <v>6494</v>
      </c>
      <c r="JZ39" s="7">
        <v>29888</v>
      </c>
      <c r="KA39" s="7">
        <v>33</v>
      </c>
      <c r="KB39" s="7">
        <v>38</v>
      </c>
      <c r="KC39" s="7">
        <v>0</v>
      </c>
      <c r="KD39" s="7">
        <v>0</v>
      </c>
      <c r="KE39" s="7">
        <v>0</v>
      </c>
      <c r="KF39" s="7">
        <v>0</v>
      </c>
      <c r="KG39" s="7">
        <v>106</v>
      </c>
      <c r="KH39" s="7">
        <v>6122</v>
      </c>
      <c r="KI39" s="7">
        <v>22965</v>
      </c>
      <c r="KJ39" s="7">
        <v>842</v>
      </c>
      <c r="KK39" s="7">
        <v>133</v>
      </c>
      <c r="KL39" s="7">
        <v>2457</v>
      </c>
      <c r="KM39" s="7">
        <v>23755</v>
      </c>
      <c r="KN39" s="7">
        <v>1373</v>
      </c>
      <c r="KO39" s="7">
        <v>42</v>
      </c>
      <c r="KP39" s="7">
        <v>27627</v>
      </c>
      <c r="KQ39" s="7">
        <v>2266</v>
      </c>
      <c r="KR39" s="7">
        <v>4696</v>
      </c>
      <c r="KS39" s="7">
        <v>4696</v>
      </c>
      <c r="KT39" s="7">
        <v>916</v>
      </c>
      <c r="KU39" s="7">
        <v>306</v>
      </c>
      <c r="KV39" s="7">
        <v>855</v>
      </c>
      <c r="KW39" s="7">
        <v>1</v>
      </c>
      <c r="KX39" s="7">
        <v>858</v>
      </c>
      <c r="KY39" s="7">
        <v>341</v>
      </c>
      <c r="KZ39" s="7">
        <v>863</v>
      </c>
      <c r="LA39" s="7">
        <v>1</v>
      </c>
      <c r="LB39" s="7">
        <v>2719</v>
      </c>
      <c r="LC39" s="7">
        <v>2820</v>
      </c>
      <c r="LD39" s="7">
        <v>1092</v>
      </c>
      <c r="LE39" s="7">
        <v>1782</v>
      </c>
      <c r="LF39" s="7">
        <v>19334</v>
      </c>
      <c r="LG39" s="7">
        <v>24</v>
      </c>
      <c r="LH39" s="7">
        <v>4042</v>
      </c>
      <c r="LI39" s="7">
        <v>567</v>
      </c>
      <c r="LJ39" s="7">
        <v>1501</v>
      </c>
      <c r="LK39" s="7">
        <v>1</v>
      </c>
      <c r="LL39" s="7">
        <v>1399</v>
      </c>
      <c r="LM39" s="7">
        <v>688</v>
      </c>
      <c r="LN39" s="7">
        <v>30</v>
      </c>
      <c r="LO39" s="7">
        <v>4027</v>
      </c>
      <c r="LP39" s="7">
        <v>531</v>
      </c>
      <c r="LQ39" s="7">
        <v>1608</v>
      </c>
      <c r="LR39" s="7">
        <v>7</v>
      </c>
      <c r="LS39" s="7">
        <v>1495</v>
      </c>
      <c r="LT39" s="7">
        <v>541</v>
      </c>
      <c r="LU39" s="232">
        <v>6.2892320534000001</v>
      </c>
      <c r="LV39" s="232">
        <v>6.5237839000999998</v>
      </c>
      <c r="LW39" s="232">
        <v>6.0685500203</v>
      </c>
      <c r="LX39" s="7">
        <v>6851</v>
      </c>
      <c r="LY39" s="7">
        <v>30062</v>
      </c>
    </row>
    <row r="40" spans="1:337" x14ac:dyDescent="0.25">
      <c r="A40" t="s">
        <v>102</v>
      </c>
      <c r="B40" t="s">
        <v>103</v>
      </c>
      <c r="C40" s="7">
        <v>5236</v>
      </c>
      <c r="D40">
        <v>7000</v>
      </c>
      <c r="F40">
        <f t="shared" si="2"/>
        <v>-7000</v>
      </c>
      <c r="G40">
        <f t="shared" si="3"/>
        <v>-100</v>
      </c>
      <c r="H40">
        <v>3540</v>
      </c>
      <c r="I40">
        <v>3460</v>
      </c>
      <c r="J40">
        <v>0</v>
      </c>
      <c r="K40">
        <v>7000</v>
      </c>
      <c r="L40" s="7">
        <v>433</v>
      </c>
      <c r="M40" s="7">
        <v>495</v>
      </c>
      <c r="N40" s="7">
        <v>524</v>
      </c>
      <c r="O40" s="7">
        <v>431</v>
      </c>
      <c r="P40" s="7">
        <v>302</v>
      </c>
      <c r="Q40" s="7">
        <v>246</v>
      </c>
      <c r="R40" s="7">
        <v>207</v>
      </c>
      <c r="S40" s="7">
        <v>226</v>
      </c>
      <c r="T40" s="7">
        <v>162</v>
      </c>
      <c r="U40" s="7">
        <v>124</v>
      </c>
      <c r="V40" s="7">
        <v>89</v>
      </c>
      <c r="W40" s="7">
        <v>76</v>
      </c>
      <c r="X40" s="7">
        <v>70</v>
      </c>
      <c r="Y40" s="7">
        <v>155</v>
      </c>
      <c r="Z40" s="7">
        <v>0</v>
      </c>
      <c r="AA40" s="7">
        <v>422</v>
      </c>
      <c r="AB40" s="7">
        <v>492</v>
      </c>
      <c r="AC40" s="7">
        <v>541</v>
      </c>
      <c r="AD40" s="7">
        <v>427</v>
      </c>
      <c r="AE40" s="7">
        <v>345</v>
      </c>
      <c r="AF40" s="7">
        <v>248</v>
      </c>
      <c r="AG40" s="7">
        <v>235</v>
      </c>
      <c r="AH40" s="7">
        <v>166</v>
      </c>
      <c r="AI40" s="7">
        <v>139</v>
      </c>
      <c r="AJ40" s="7">
        <v>121</v>
      </c>
      <c r="AK40" s="7">
        <v>81</v>
      </c>
      <c r="AL40" s="7">
        <v>76</v>
      </c>
      <c r="AM40" s="7">
        <v>57</v>
      </c>
      <c r="AN40" s="7">
        <v>110</v>
      </c>
      <c r="AO40" s="7">
        <v>0</v>
      </c>
      <c r="AP40">
        <v>6982</v>
      </c>
      <c r="AQ40">
        <v>11</v>
      </c>
      <c r="AR40" t="s">
        <v>358</v>
      </c>
      <c r="AS40" t="s">
        <v>358</v>
      </c>
      <c r="AT40">
        <v>7</v>
      </c>
      <c r="AU40" s="7">
        <v>4846</v>
      </c>
      <c r="AV40" s="7">
        <v>2475</v>
      </c>
      <c r="AW40" s="7">
        <v>2371</v>
      </c>
      <c r="AX40" s="7">
        <v>3367</v>
      </c>
      <c r="AY40" s="7">
        <v>4846</v>
      </c>
      <c r="AZ40" s="7">
        <v>4846</v>
      </c>
      <c r="BA40" s="7">
        <v>0</v>
      </c>
      <c r="BB40" s="7">
        <v>108</v>
      </c>
      <c r="BC40" s="7">
        <v>106</v>
      </c>
      <c r="BD40" s="7">
        <v>344</v>
      </c>
      <c r="BE40" s="7">
        <v>336</v>
      </c>
      <c r="BF40" s="7">
        <v>391</v>
      </c>
      <c r="BG40" s="7">
        <v>401</v>
      </c>
      <c r="BH40" s="7">
        <v>336</v>
      </c>
      <c r="BI40" s="7">
        <v>310</v>
      </c>
      <c r="BJ40" s="7">
        <v>229</v>
      </c>
      <c r="BK40" s="7">
        <v>247</v>
      </c>
      <c r="BL40" s="7">
        <v>183</v>
      </c>
      <c r="BM40" s="7">
        <v>179</v>
      </c>
      <c r="BN40" s="7">
        <v>159</v>
      </c>
      <c r="BO40" s="7">
        <v>181</v>
      </c>
      <c r="BP40" s="7">
        <v>175</v>
      </c>
      <c r="BQ40" s="7">
        <v>134</v>
      </c>
      <c r="BR40" s="7">
        <v>126</v>
      </c>
      <c r="BS40" s="7">
        <v>110</v>
      </c>
      <c r="BT40" s="7">
        <v>98</v>
      </c>
      <c r="BU40" s="7">
        <v>103</v>
      </c>
      <c r="BV40" s="7">
        <v>70</v>
      </c>
      <c r="BW40" s="7">
        <v>64</v>
      </c>
      <c r="BX40" s="7">
        <v>64</v>
      </c>
      <c r="BY40" s="7">
        <v>61</v>
      </c>
      <c r="BZ40" s="7">
        <v>60</v>
      </c>
      <c r="CA40" s="7">
        <v>44</v>
      </c>
      <c r="CB40" s="7">
        <v>132</v>
      </c>
      <c r="CC40" s="7">
        <v>95</v>
      </c>
      <c r="CD40" s="7">
        <v>2378</v>
      </c>
      <c r="CE40" s="7">
        <v>2226</v>
      </c>
      <c r="CF40" s="7">
        <v>35</v>
      </c>
      <c r="CG40" s="7">
        <v>75</v>
      </c>
      <c r="CH40" s="7">
        <v>1208</v>
      </c>
      <c r="CI40" s="7">
        <v>106</v>
      </c>
      <c r="CJ40" s="7">
        <v>6607</v>
      </c>
      <c r="CK40" s="7">
        <v>393</v>
      </c>
      <c r="CL40" s="7">
        <v>58</v>
      </c>
      <c r="CM40" s="7">
        <v>116</v>
      </c>
      <c r="CN40" s="7">
        <v>164</v>
      </c>
      <c r="CO40" s="7">
        <v>201</v>
      </c>
      <c r="CP40" s="7">
        <v>207</v>
      </c>
      <c r="CQ40" s="7">
        <v>568</v>
      </c>
      <c r="CR40" s="7">
        <v>1118</v>
      </c>
      <c r="CS40" s="7">
        <v>4113</v>
      </c>
      <c r="CT40" s="7">
        <v>198</v>
      </c>
      <c r="CU40" s="7">
        <v>82</v>
      </c>
      <c r="CV40" s="7">
        <v>53</v>
      </c>
      <c r="CW40" s="7">
        <v>100</v>
      </c>
      <c r="CX40" s="7">
        <v>5</v>
      </c>
      <c r="CY40" s="7">
        <v>5359</v>
      </c>
      <c r="CZ40" s="7">
        <v>1465</v>
      </c>
      <c r="DA40" s="7">
        <v>5</v>
      </c>
      <c r="DB40" s="7">
        <v>58</v>
      </c>
      <c r="DC40" s="7">
        <v>4</v>
      </c>
      <c r="DD40" s="7">
        <v>2022</v>
      </c>
      <c r="DE40" s="7">
        <v>1257</v>
      </c>
      <c r="DF40" s="7">
        <v>3721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29</v>
      </c>
      <c r="DM40" s="7">
        <v>4</v>
      </c>
      <c r="DN40" s="7">
        <v>5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22</v>
      </c>
      <c r="DU40" s="7">
        <v>22</v>
      </c>
      <c r="DV40" s="7">
        <v>19</v>
      </c>
      <c r="DW40" s="7">
        <v>16</v>
      </c>
      <c r="DX40" s="7">
        <v>9</v>
      </c>
      <c r="DY40" s="7">
        <v>5</v>
      </c>
      <c r="DZ40" s="7">
        <v>9</v>
      </c>
      <c r="EA40" s="7">
        <v>4</v>
      </c>
      <c r="EB40" s="7">
        <v>4</v>
      </c>
      <c r="EC40" s="7">
        <v>2</v>
      </c>
      <c r="ED40" s="7">
        <v>2</v>
      </c>
      <c r="EE40" s="7">
        <v>2</v>
      </c>
      <c r="EF40" s="7">
        <v>11</v>
      </c>
      <c r="EG40" s="7">
        <v>9</v>
      </c>
      <c r="EH40" s="7">
        <v>29</v>
      </c>
      <c r="EI40" s="7">
        <v>27</v>
      </c>
      <c r="EJ40" s="7">
        <v>9</v>
      </c>
      <c r="EK40" s="7">
        <v>7</v>
      </c>
      <c r="EL40" s="7">
        <v>3</v>
      </c>
      <c r="EM40" s="7">
        <v>2</v>
      </c>
      <c r="EN40" s="7">
        <v>16</v>
      </c>
      <c r="EO40" s="7">
        <v>1738</v>
      </c>
      <c r="EP40" s="7">
        <v>1694</v>
      </c>
      <c r="EQ40" s="7">
        <v>44</v>
      </c>
      <c r="ER40" s="7">
        <v>642</v>
      </c>
      <c r="ES40" s="7">
        <v>93</v>
      </c>
      <c r="ET40" s="7">
        <v>81</v>
      </c>
      <c r="EU40" s="7">
        <v>12</v>
      </c>
      <c r="EV40" s="7">
        <v>2212</v>
      </c>
      <c r="EW40" s="134">
        <v>85.464788732000002</v>
      </c>
      <c r="EX40" s="134">
        <v>6.5915492958000002</v>
      </c>
      <c r="EY40" s="134">
        <v>2.0281690140999999</v>
      </c>
      <c r="EZ40" s="134">
        <v>4.7887323944000002</v>
      </c>
      <c r="FA40" s="134">
        <v>1.1267605634</v>
      </c>
      <c r="FB40" s="7">
        <v>311</v>
      </c>
      <c r="FC40" s="7">
        <v>1017</v>
      </c>
      <c r="FD40" s="7">
        <v>83</v>
      </c>
      <c r="FE40" s="7">
        <v>257</v>
      </c>
      <c r="FF40" s="7">
        <v>0</v>
      </c>
      <c r="FG40" s="7">
        <v>137</v>
      </c>
      <c r="FH40" s="7">
        <v>24</v>
      </c>
      <c r="FI40" s="134">
        <v>66.816901408000007</v>
      </c>
      <c r="FJ40" s="134">
        <v>25.746478873000001</v>
      </c>
      <c r="FK40" s="134">
        <v>4.4507042254</v>
      </c>
      <c r="FL40" s="134">
        <v>2.9859154929999998</v>
      </c>
      <c r="FM40" s="151">
        <v>2896</v>
      </c>
      <c r="FN40" s="151">
        <v>626</v>
      </c>
      <c r="FO40" s="7">
        <v>96</v>
      </c>
      <c r="FP40" s="7">
        <v>9</v>
      </c>
      <c r="FQ40" s="7">
        <v>0</v>
      </c>
      <c r="FR40" s="7">
        <v>1</v>
      </c>
      <c r="FS40" s="7">
        <v>2725</v>
      </c>
      <c r="FT40" s="7">
        <v>24</v>
      </c>
      <c r="FU40" s="7">
        <v>48</v>
      </c>
      <c r="FV40" s="7">
        <v>18</v>
      </c>
      <c r="FW40" s="7">
        <v>2940</v>
      </c>
      <c r="FX40" s="7">
        <v>507</v>
      </c>
      <c r="FY40" s="7">
        <v>74</v>
      </c>
      <c r="FZ40" s="7">
        <v>6</v>
      </c>
      <c r="GA40" s="7">
        <v>0</v>
      </c>
      <c r="GB40" s="7">
        <v>0</v>
      </c>
      <c r="GC40" s="7">
        <v>2811</v>
      </c>
      <c r="GD40" s="7">
        <v>14</v>
      </c>
      <c r="GE40" s="7">
        <v>37</v>
      </c>
      <c r="GF40" s="7">
        <v>13</v>
      </c>
      <c r="GG40" s="7">
        <v>345</v>
      </c>
      <c r="GH40" s="7">
        <v>431</v>
      </c>
      <c r="GI40" s="7">
        <v>440</v>
      </c>
      <c r="GJ40" s="7">
        <v>331</v>
      </c>
      <c r="GK40" s="7">
        <v>238</v>
      </c>
      <c r="GL40" s="7">
        <v>198</v>
      </c>
      <c r="GM40" s="7">
        <v>166</v>
      </c>
      <c r="GN40" s="7">
        <v>187</v>
      </c>
      <c r="GO40" s="7">
        <v>135</v>
      </c>
      <c r="GP40" s="7">
        <v>105</v>
      </c>
      <c r="GQ40" s="7">
        <v>71</v>
      </c>
      <c r="GR40" s="7">
        <v>63</v>
      </c>
      <c r="GS40" s="7">
        <v>58</v>
      </c>
      <c r="GT40" s="7">
        <v>39</v>
      </c>
      <c r="GU40" s="7">
        <v>41</v>
      </c>
      <c r="GV40" s="7">
        <v>26</v>
      </c>
      <c r="GW40" s="7">
        <v>15</v>
      </c>
      <c r="GX40" s="7">
        <v>7</v>
      </c>
      <c r="GY40" s="7">
        <v>340</v>
      </c>
      <c r="GZ40" s="7">
        <v>428</v>
      </c>
      <c r="HA40" s="7">
        <v>456</v>
      </c>
      <c r="HB40" s="7">
        <v>351</v>
      </c>
      <c r="HC40" s="7">
        <v>282</v>
      </c>
      <c r="HD40" s="7">
        <v>212</v>
      </c>
      <c r="HE40" s="7">
        <v>207</v>
      </c>
      <c r="HF40" s="7">
        <v>146</v>
      </c>
      <c r="HG40" s="7">
        <v>127</v>
      </c>
      <c r="HH40" s="7">
        <v>109</v>
      </c>
      <c r="HI40" s="7">
        <v>67</v>
      </c>
      <c r="HJ40" s="7">
        <v>69</v>
      </c>
      <c r="HK40" s="7">
        <v>50</v>
      </c>
      <c r="HL40" s="7">
        <v>37</v>
      </c>
      <c r="HM40" s="7">
        <v>22</v>
      </c>
      <c r="HN40" s="7">
        <v>18</v>
      </c>
      <c r="HO40" s="7">
        <v>12</v>
      </c>
      <c r="HP40" s="7">
        <v>7</v>
      </c>
      <c r="HQ40" s="7">
        <v>1310</v>
      </c>
      <c r="HR40" s="7">
        <v>1</v>
      </c>
      <c r="HS40" s="7">
        <v>0</v>
      </c>
      <c r="HT40" s="7">
        <v>0</v>
      </c>
      <c r="HU40" s="7">
        <v>0</v>
      </c>
      <c r="HV40" s="7">
        <v>0</v>
      </c>
      <c r="HW40" s="7">
        <v>0</v>
      </c>
      <c r="HX40" s="7">
        <v>3</v>
      </c>
      <c r="HY40" s="7">
        <v>58</v>
      </c>
      <c r="HZ40" s="7">
        <v>116</v>
      </c>
      <c r="IA40" s="7">
        <v>164</v>
      </c>
      <c r="IB40" s="7">
        <v>201</v>
      </c>
      <c r="IC40" s="7">
        <v>207</v>
      </c>
      <c r="ID40" s="7">
        <v>177</v>
      </c>
      <c r="IE40" s="7">
        <v>129</v>
      </c>
      <c r="IF40" s="7">
        <v>106</v>
      </c>
      <c r="IG40" s="7">
        <v>156</v>
      </c>
      <c r="IH40" s="7">
        <v>127</v>
      </c>
      <c r="II40" s="7">
        <v>303</v>
      </c>
      <c r="IJ40" s="7">
        <v>416</v>
      </c>
      <c r="IK40" s="7">
        <v>293</v>
      </c>
      <c r="IL40" s="7">
        <v>92</v>
      </c>
      <c r="IM40" s="7">
        <v>51</v>
      </c>
      <c r="IN40" s="7">
        <v>12</v>
      </c>
      <c r="IO40" s="7">
        <v>3</v>
      </c>
      <c r="IP40" s="7">
        <v>2</v>
      </c>
      <c r="IQ40" s="7">
        <v>652</v>
      </c>
      <c r="IR40" s="7">
        <v>411</v>
      </c>
      <c r="IS40" s="7">
        <v>140</v>
      </c>
      <c r="IT40" s="7">
        <v>76</v>
      </c>
      <c r="IU40" s="7">
        <v>20</v>
      </c>
      <c r="IV40" s="7">
        <v>687</v>
      </c>
      <c r="IW40" s="7">
        <v>359</v>
      </c>
      <c r="IX40" s="7">
        <v>58</v>
      </c>
      <c r="IY40" s="7">
        <v>14</v>
      </c>
      <c r="IZ40" s="7">
        <v>0</v>
      </c>
      <c r="JA40" s="7">
        <v>193</v>
      </c>
      <c r="JB40" s="7">
        <v>334</v>
      </c>
      <c r="JC40" s="7">
        <v>681</v>
      </c>
      <c r="JD40" s="7">
        <v>73</v>
      </c>
      <c r="JE40" s="7">
        <v>1</v>
      </c>
      <c r="JF40" s="151">
        <v>1176.5931546230745</v>
      </c>
      <c r="JG40" s="151">
        <v>134.21571562787145</v>
      </c>
      <c r="JH40" s="7">
        <v>109</v>
      </c>
      <c r="JI40" s="7">
        <v>1194</v>
      </c>
      <c r="JJ40" s="7">
        <v>9</v>
      </c>
      <c r="JK40" s="7">
        <v>2</v>
      </c>
      <c r="JL40" s="7">
        <v>544</v>
      </c>
      <c r="JM40" s="7">
        <v>111</v>
      </c>
      <c r="JN40" s="7">
        <v>40</v>
      </c>
      <c r="JO40" s="7">
        <v>464</v>
      </c>
      <c r="JP40" s="7">
        <v>844</v>
      </c>
      <c r="JQ40" s="7">
        <v>10</v>
      </c>
      <c r="JR40" s="7">
        <v>12</v>
      </c>
      <c r="JS40" s="7">
        <v>21</v>
      </c>
      <c r="JT40" s="7">
        <v>3</v>
      </c>
      <c r="JU40" s="151">
        <v>26.092285975208576</v>
      </c>
      <c r="JV40" s="151">
        <v>1012.7185815557573</v>
      </c>
      <c r="JW40" s="151">
        <v>128.5842870001286</v>
      </c>
      <c r="JX40" s="151">
        <v>9.1980000919800009</v>
      </c>
      <c r="JY40" s="7">
        <v>1212</v>
      </c>
      <c r="JZ40" s="7">
        <v>6987</v>
      </c>
      <c r="KA40" s="7">
        <v>6</v>
      </c>
      <c r="KB40" s="7">
        <v>0</v>
      </c>
      <c r="KC40" s="7">
        <v>0</v>
      </c>
      <c r="KD40" s="7">
        <v>0</v>
      </c>
      <c r="KE40" s="7">
        <v>0</v>
      </c>
      <c r="KF40" s="7">
        <v>0</v>
      </c>
      <c r="KG40" s="7">
        <v>7</v>
      </c>
      <c r="KH40" s="7">
        <v>489</v>
      </c>
      <c r="KI40" s="7">
        <v>6453</v>
      </c>
      <c r="KJ40" s="7">
        <v>47</v>
      </c>
      <c r="KK40" s="7">
        <v>11</v>
      </c>
      <c r="KL40" s="7">
        <v>139</v>
      </c>
      <c r="KM40" s="7">
        <v>5395</v>
      </c>
      <c r="KN40" s="7">
        <v>685</v>
      </c>
      <c r="KO40" s="7">
        <v>49</v>
      </c>
      <c r="KP40" s="7">
        <v>6268</v>
      </c>
      <c r="KQ40" s="7">
        <v>715</v>
      </c>
      <c r="KR40" s="7">
        <v>1310</v>
      </c>
      <c r="KS40" s="7">
        <v>1310</v>
      </c>
      <c r="KT40" s="7">
        <v>265</v>
      </c>
      <c r="KU40" s="7">
        <v>79</v>
      </c>
      <c r="KV40" s="7">
        <v>254</v>
      </c>
      <c r="KW40" s="7">
        <v>0</v>
      </c>
      <c r="KX40" s="7">
        <v>247</v>
      </c>
      <c r="KY40" s="7">
        <v>77</v>
      </c>
      <c r="KZ40" s="7">
        <v>236</v>
      </c>
      <c r="LA40" s="7">
        <v>0</v>
      </c>
      <c r="LB40" s="7">
        <v>776</v>
      </c>
      <c r="LC40" s="7">
        <v>780</v>
      </c>
      <c r="LD40" s="7">
        <v>375</v>
      </c>
      <c r="LE40" s="7">
        <v>595</v>
      </c>
      <c r="LF40" s="7">
        <v>4093</v>
      </c>
      <c r="LG40" s="7">
        <v>8</v>
      </c>
      <c r="LH40" s="7">
        <v>1031</v>
      </c>
      <c r="LI40" s="7">
        <v>148</v>
      </c>
      <c r="LJ40" s="7">
        <v>308</v>
      </c>
      <c r="LK40" s="7">
        <v>0</v>
      </c>
      <c r="LL40" s="7">
        <v>219</v>
      </c>
      <c r="LM40" s="7">
        <v>21</v>
      </c>
      <c r="LN40" s="7">
        <v>14</v>
      </c>
      <c r="LO40" s="7">
        <v>858</v>
      </c>
      <c r="LP40" s="7">
        <v>127</v>
      </c>
      <c r="LQ40" s="7">
        <v>293</v>
      </c>
      <c r="LR40" s="7">
        <v>0</v>
      </c>
      <c r="LS40" s="7">
        <v>154</v>
      </c>
      <c r="LT40" s="7">
        <v>26</v>
      </c>
      <c r="LU40" s="232">
        <v>4.7983337416999996</v>
      </c>
      <c r="LV40" s="232">
        <v>5.0758521363</v>
      </c>
      <c r="LW40" s="232">
        <v>4.5090090089999997</v>
      </c>
      <c r="LX40" s="7">
        <v>1314</v>
      </c>
      <c r="LY40" s="7">
        <v>7000</v>
      </c>
    </row>
    <row r="41" spans="1:337" x14ac:dyDescent="0.25">
      <c r="A41" t="s">
        <v>104</v>
      </c>
      <c r="B41" t="s">
        <v>105</v>
      </c>
      <c r="C41" s="7">
        <v>52168</v>
      </c>
      <c r="D41">
        <v>67012</v>
      </c>
      <c r="F41">
        <f t="shared" si="2"/>
        <v>-67012</v>
      </c>
      <c r="G41">
        <f t="shared" si="3"/>
        <v>-100</v>
      </c>
      <c r="H41">
        <v>32631</v>
      </c>
      <c r="I41">
        <v>34381</v>
      </c>
      <c r="J41">
        <v>22358</v>
      </c>
      <c r="K41">
        <v>44654</v>
      </c>
      <c r="L41" s="7">
        <v>3624</v>
      </c>
      <c r="M41" s="7">
        <v>3748</v>
      </c>
      <c r="N41" s="7">
        <v>3862</v>
      </c>
      <c r="O41" s="7">
        <v>3815</v>
      </c>
      <c r="P41" s="7">
        <v>2695</v>
      </c>
      <c r="Q41" s="7">
        <v>2307</v>
      </c>
      <c r="R41" s="7">
        <v>2238</v>
      </c>
      <c r="S41" s="7">
        <v>2222</v>
      </c>
      <c r="T41" s="7">
        <v>1734</v>
      </c>
      <c r="U41" s="7">
        <v>1513</v>
      </c>
      <c r="V41" s="7">
        <v>1275</v>
      </c>
      <c r="W41" s="7">
        <v>1049</v>
      </c>
      <c r="X41" s="7">
        <v>782</v>
      </c>
      <c r="Y41" s="7">
        <v>1756</v>
      </c>
      <c r="Z41" s="7">
        <v>11</v>
      </c>
      <c r="AA41" s="7">
        <v>3512</v>
      </c>
      <c r="AB41" s="7">
        <v>3704</v>
      </c>
      <c r="AC41" s="7">
        <v>3899</v>
      </c>
      <c r="AD41" s="7">
        <v>4068</v>
      </c>
      <c r="AE41" s="7">
        <v>3167</v>
      </c>
      <c r="AF41" s="7">
        <v>2826</v>
      </c>
      <c r="AG41" s="7">
        <v>2661</v>
      </c>
      <c r="AH41" s="7">
        <v>2458</v>
      </c>
      <c r="AI41" s="7">
        <v>1860</v>
      </c>
      <c r="AJ41" s="7">
        <v>1589</v>
      </c>
      <c r="AK41" s="7">
        <v>1274</v>
      </c>
      <c r="AL41" s="7">
        <v>912</v>
      </c>
      <c r="AM41" s="7">
        <v>772</v>
      </c>
      <c r="AN41" s="7">
        <v>1670</v>
      </c>
      <c r="AO41" s="7">
        <v>9</v>
      </c>
      <c r="AP41">
        <v>64556</v>
      </c>
      <c r="AQ41">
        <v>671</v>
      </c>
      <c r="AR41">
        <v>180</v>
      </c>
      <c r="AS41">
        <v>1509</v>
      </c>
      <c r="AT41">
        <v>96</v>
      </c>
      <c r="AU41" s="7">
        <v>990</v>
      </c>
      <c r="AV41" s="7">
        <v>525</v>
      </c>
      <c r="AW41" s="7">
        <v>465</v>
      </c>
      <c r="AX41" s="7">
        <v>896</v>
      </c>
      <c r="AY41" s="7">
        <v>990</v>
      </c>
      <c r="AZ41" s="7">
        <v>887</v>
      </c>
      <c r="BA41" s="7">
        <v>103</v>
      </c>
      <c r="BB41" s="7">
        <v>13</v>
      </c>
      <c r="BC41" s="7">
        <v>10</v>
      </c>
      <c r="BD41" s="7">
        <v>39</v>
      </c>
      <c r="BE41" s="7">
        <v>32</v>
      </c>
      <c r="BF41" s="7">
        <v>60</v>
      </c>
      <c r="BG41" s="7">
        <v>59</v>
      </c>
      <c r="BH41" s="7">
        <v>62</v>
      </c>
      <c r="BI41" s="7">
        <v>52</v>
      </c>
      <c r="BJ41" s="7">
        <v>42</v>
      </c>
      <c r="BK41" s="7">
        <v>44</v>
      </c>
      <c r="BL41" s="7">
        <v>22</v>
      </c>
      <c r="BM41" s="7">
        <v>38</v>
      </c>
      <c r="BN41" s="7">
        <v>36</v>
      </c>
      <c r="BO41" s="7">
        <v>44</v>
      </c>
      <c r="BP41" s="7">
        <v>53</v>
      </c>
      <c r="BQ41" s="7">
        <v>47</v>
      </c>
      <c r="BR41" s="7">
        <v>41</v>
      </c>
      <c r="BS41" s="7">
        <v>24</v>
      </c>
      <c r="BT41" s="7">
        <v>35</v>
      </c>
      <c r="BU41" s="7">
        <v>32</v>
      </c>
      <c r="BV41" s="7">
        <v>15</v>
      </c>
      <c r="BW41" s="7">
        <v>14</v>
      </c>
      <c r="BX41" s="7">
        <v>32</v>
      </c>
      <c r="BY41" s="7">
        <v>22</v>
      </c>
      <c r="BZ41" s="7">
        <v>29</v>
      </c>
      <c r="CA41" s="7">
        <v>18</v>
      </c>
      <c r="CB41" s="7">
        <v>46</v>
      </c>
      <c r="CC41" s="7">
        <v>29</v>
      </c>
      <c r="CD41" s="7">
        <v>488</v>
      </c>
      <c r="CE41" s="7">
        <v>440</v>
      </c>
      <c r="CF41" s="7">
        <v>2</v>
      </c>
      <c r="CG41" s="7">
        <v>1</v>
      </c>
      <c r="CH41" s="7">
        <v>12430</v>
      </c>
      <c r="CI41" s="7">
        <v>3000</v>
      </c>
      <c r="CJ41" s="7">
        <v>55881</v>
      </c>
      <c r="CK41" s="7">
        <v>11059</v>
      </c>
      <c r="CL41" s="7">
        <v>897</v>
      </c>
      <c r="CM41" s="7">
        <v>1722</v>
      </c>
      <c r="CN41" s="7">
        <v>2739</v>
      </c>
      <c r="CO41" s="7">
        <v>3540</v>
      </c>
      <c r="CP41" s="7">
        <v>2971</v>
      </c>
      <c r="CQ41" s="7">
        <v>3561</v>
      </c>
      <c r="CR41" s="7">
        <v>11603</v>
      </c>
      <c r="CS41" s="7">
        <v>30367</v>
      </c>
      <c r="CT41" s="7">
        <v>4702</v>
      </c>
      <c r="CU41" s="7">
        <v>1706</v>
      </c>
      <c r="CV41" s="7">
        <v>654</v>
      </c>
      <c r="CW41" s="7">
        <v>1842</v>
      </c>
      <c r="CX41" s="7">
        <v>371</v>
      </c>
      <c r="CY41" s="7">
        <v>40257</v>
      </c>
      <c r="CZ41" s="7">
        <v>23063</v>
      </c>
      <c r="DA41" s="7">
        <v>1390</v>
      </c>
      <c r="DB41" s="7">
        <v>897</v>
      </c>
      <c r="DC41" s="7">
        <v>89</v>
      </c>
      <c r="DD41" s="7">
        <v>7533</v>
      </c>
      <c r="DE41" s="7">
        <v>6130</v>
      </c>
      <c r="DF41" s="7">
        <v>30991</v>
      </c>
      <c r="DG41" s="7">
        <v>3654</v>
      </c>
      <c r="DH41" s="7">
        <v>0</v>
      </c>
      <c r="DI41" s="7">
        <v>18704</v>
      </c>
      <c r="DJ41" s="7">
        <v>0</v>
      </c>
      <c r="DK41" s="7">
        <v>0</v>
      </c>
      <c r="DL41" s="7">
        <v>176</v>
      </c>
      <c r="DM41" s="7">
        <v>17</v>
      </c>
      <c r="DN41" s="7">
        <v>27</v>
      </c>
      <c r="DO41" s="7">
        <v>1</v>
      </c>
      <c r="DP41" s="7">
        <v>0</v>
      </c>
      <c r="DQ41" s="7">
        <v>1</v>
      </c>
      <c r="DR41" s="7">
        <v>0</v>
      </c>
      <c r="DS41" s="7">
        <v>0</v>
      </c>
      <c r="DT41" s="7">
        <v>278</v>
      </c>
      <c r="DU41" s="7">
        <v>214</v>
      </c>
      <c r="DV41" s="7">
        <v>146</v>
      </c>
      <c r="DW41" s="7">
        <v>143</v>
      </c>
      <c r="DX41" s="7">
        <v>94</v>
      </c>
      <c r="DY41" s="7">
        <v>75</v>
      </c>
      <c r="DZ41" s="7">
        <v>95</v>
      </c>
      <c r="EA41" s="7">
        <v>99</v>
      </c>
      <c r="EB41" s="7">
        <v>25</v>
      </c>
      <c r="EC41" s="7">
        <v>33</v>
      </c>
      <c r="ED41" s="7">
        <v>24</v>
      </c>
      <c r="EE41" s="7">
        <v>29</v>
      </c>
      <c r="EF41" s="7">
        <v>114</v>
      </c>
      <c r="EG41" s="7">
        <v>81</v>
      </c>
      <c r="EH41" s="7">
        <v>226</v>
      </c>
      <c r="EI41" s="7">
        <v>131</v>
      </c>
      <c r="EJ41" s="7">
        <v>75</v>
      </c>
      <c r="EK41" s="7">
        <v>87</v>
      </c>
      <c r="EL41" s="7">
        <v>37</v>
      </c>
      <c r="EM41" s="7">
        <v>31</v>
      </c>
      <c r="EN41" s="7">
        <v>68</v>
      </c>
      <c r="EO41" s="7">
        <v>18748</v>
      </c>
      <c r="EP41" s="7">
        <v>18238</v>
      </c>
      <c r="EQ41" s="7">
        <v>510</v>
      </c>
      <c r="ER41" s="7">
        <v>4826</v>
      </c>
      <c r="ES41" s="7">
        <v>3734</v>
      </c>
      <c r="ET41" s="7">
        <v>3685</v>
      </c>
      <c r="EU41" s="7">
        <v>49</v>
      </c>
      <c r="EV41" s="7">
        <v>21690</v>
      </c>
      <c r="EW41" s="134">
        <v>39.445114596000003</v>
      </c>
      <c r="EX41" s="134">
        <v>11.317983951</v>
      </c>
      <c r="EY41" s="134">
        <v>21.204174752</v>
      </c>
      <c r="EZ41" s="134">
        <v>27.398122409999999</v>
      </c>
      <c r="FA41" s="134">
        <v>0.63460429009999997</v>
      </c>
      <c r="FB41" s="7">
        <v>2203</v>
      </c>
      <c r="FC41" s="7">
        <v>11260</v>
      </c>
      <c r="FD41" s="7">
        <v>759</v>
      </c>
      <c r="FE41" s="7">
        <v>4327</v>
      </c>
      <c r="FF41" s="7">
        <v>10</v>
      </c>
      <c r="FG41" s="7">
        <v>2157</v>
      </c>
      <c r="FH41" s="7">
        <v>1652</v>
      </c>
      <c r="FI41" s="134">
        <v>48.964178947999997</v>
      </c>
      <c r="FJ41" s="134">
        <v>29.763465673999999</v>
      </c>
      <c r="FK41" s="134">
        <v>19.106309329999998</v>
      </c>
      <c r="FL41" s="134">
        <v>2.1660460481000001</v>
      </c>
      <c r="FM41" s="151">
        <v>13867</v>
      </c>
      <c r="FN41" s="151">
        <v>18705</v>
      </c>
      <c r="FO41" s="7">
        <v>2439</v>
      </c>
      <c r="FP41" s="7">
        <v>894</v>
      </c>
      <c r="FQ41" s="7">
        <v>295</v>
      </c>
      <c r="FR41" s="7">
        <v>6</v>
      </c>
      <c r="FS41" s="7">
        <v>10136</v>
      </c>
      <c r="FT41" s="7">
        <v>27</v>
      </c>
      <c r="FU41" s="7">
        <v>199</v>
      </c>
      <c r="FV41" s="7">
        <v>59</v>
      </c>
      <c r="FW41" s="7">
        <v>16129</v>
      </c>
      <c r="FX41" s="7">
        <v>18191</v>
      </c>
      <c r="FY41" s="7">
        <v>2707</v>
      </c>
      <c r="FZ41" s="7">
        <v>980</v>
      </c>
      <c r="GA41" s="7">
        <v>307</v>
      </c>
      <c r="GB41" s="7">
        <v>3</v>
      </c>
      <c r="GC41" s="7">
        <v>12038</v>
      </c>
      <c r="GD41" s="7">
        <v>25</v>
      </c>
      <c r="GE41" s="7">
        <v>212</v>
      </c>
      <c r="GF41" s="7">
        <v>61</v>
      </c>
      <c r="GG41" s="7">
        <v>1623</v>
      </c>
      <c r="GH41" s="7">
        <v>1752</v>
      </c>
      <c r="GI41" s="7">
        <v>1808</v>
      </c>
      <c r="GJ41" s="7">
        <v>1540</v>
      </c>
      <c r="GK41" s="7">
        <v>773</v>
      </c>
      <c r="GL41" s="7">
        <v>849</v>
      </c>
      <c r="GM41" s="7">
        <v>943</v>
      </c>
      <c r="GN41" s="7">
        <v>1020</v>
      </c>
      <c r="GO41" s="7">
        <v>797</v>
      </c>
      <c r="GP41" s="7">
        <v>643</v>
      </c>
      <c r="GQ41" s="7">
        <v>533</v>
      </c>
      <c r="GR41" s="7">
        <v>426</v>
      </c>
      <c r="GS41" s="7">
        <v>330</v>
      </c>
      <c r="GT41" s="7">
        <v>266</v>
      </c>
      <c r="GU41" s="7">
        <v>268</v>
      </c>
      <c r="GV41" s="7">
        <v>131</v>
      </c>
      <c r="GW41" s="7">
        <v>83</v>
      </c>
      <c r="GX41" s="7">
        <v>80</v>
      </c>
      <c r="GY41" s="7">
        <v>1604</v>
      </c>
      <c r="GZ41" s="7">
        <v>1737</v>
      </c>
      <c r="HA41" s="7">
        <v>1879</v>
      </c>
      <c r="HB41" s="7">
        <v>1673</v>
      </c>
      <c r="HC41" s="7">
        <v>1271</v>
      </c>
      <c r="HD41" s="7">
        <v>1275</v>
      </c>
      <c r="HE41" s="7">
        <v>1291</v>
      </c>
      <c r="HF41" s="7">
        <v>1275</v>
      </c>
      <c r="HG41" s="7">
        <v>936</v>
      </c>
      <c r="HH41" s="7">
        <v>805</v>
      </c>
      <c r="HI41" s="7">
        <v>608</v>
      </c>
      <c r="HJ41" s="7">
        <v>465</v>
      </c>
      <c r="HK41" s="7">
        <v>423</v>
      </c>
      <c r="HL41" s="7">
        <v>313</v>
      </c>
      <c r="HM41" s="7">
        <v>273</v>
      </c>
      <c r="HN41" s="7">
        <v>155</v>
      </c>
      <c r="HO41" s="7">
        <v>70</v>
      </c>
      <c r="HP41" s="7">
        <v>75</v>
      </c>
      <c r="HQ41" s="7">
        <v>15327</v>
      </c>
      <c r="HR41" s="7">
        <v>6</v>
      </c>
      <c r="HS41" s="7">
        <v>41</v>
      </c>
      <c r="HT41" s="7">
        <v>13</v>
      </c>
      <c r="HU41" s="7">
        <v>1</v>
      </c>
      <c r="HV41" s="7">
        <v>0</v>
      </c>
      <c r="HW41" s="7">
        <v>0</v>
      </c>
      <c r="HX41" s="7">
        <v>46</v>
      </c>
      <c r="HY41" s="7">
        <v>897</v>
      </c>
      <c r="HZ41" s="7">
        <v>1722</v>
      </c>
      <c r="IA41" s="7">
        <v>2739</v>
      </c>
      <c r="IB41" s="7">
        <v>3540</v>
      </c>
      <c r="IC41" s="7">
        <v>2971</v>
      </c>
      <c r="ID41" s="7">
        <v>1718</v>
      </c>
      <c r="IE41" s="7">
        <v>866</v>
      </c>
      <c r="IF41" s="7">
        <v>426</v>
      </c>
      <c r="IG41" s="7">
        <v>550</v>
      </c>
      <c r="IH41" s="7">
        <v>1453</v>
      </c>
      <c r="II41" s="7">
        <v>3471</v>
      </c>
      <c r="IJ41" s="7">
        <v>4523</v>
      </c>
      <c r="IK41" s="7">
        <v>3336</v>
      </c>
      <c r="IL41" s="7">
        <v>1611</v>
      </c>
      <c r="IM41" s="7">
        <v>630</v>
      </c>
      <c r="IN41" s="7">
        <v>205</v>
      </c>
      <c r="IO41" s="7">
        <v>90</v>
      </c>
      <c r="IP41" s="7">
        <v>80</v>
      </c>
      <c r="IQ41" s="7">
        <v>6375</v>
      </c>
      <c r="IR41" s="7">
        <v>5906</v>
      </c>
      <c r="IS41" s="7">
        <v>2405</v>
      </c>
      <c r="IT41" s="7">
        <v>593</v>
      </c>
      <c r="IU41" s="7">
        <v>128</v>
      </c>
      <c r="IV41" s="7">
        <v>4893</v>
      </c>
      <c r="IW41" s="7">
        <v>8188</v>
      </c>
      <c r="IX41" s="7">
        <v>229</v>
      </c>
      <c r="IY41" s="7">
        <v>252</v>
      </c>
      <c r="IZ41" s="7">
        <v>310</v>
      </c>
      <c r="JA41" s="7">
        <v>1520</v>
      </c>
      <c r="JB41" s="7">
        <v>6444</v>
      </c>
      <c r="JC41" s="7">
        <v>7476</v>
      </c>
      <c r="JD41" s="7">
        <v>399</v>
      </c>
      <c r="JE41" s="7">
        <v>74</v>
      </c>
      <c r="JF41" s="151">
        <v>14949.397252657838</v>
      </c>
      <c r="JG41" s="151">
        <v>448.79309923559958</v>
      </c>
      <c r="JH41" s="7">
        <v>2108</v>
      </c>
      <c r="JI41" s="7">
        <v>11823</v>
      </c>
      <c r="JJ41" s="7">
        <v>1446</v>
      </c>
      <c r="JK41" s="7">
        <v>52</v>
      </c>
      <c r="JL41" s="7">
        <v>11395</v>
      </c>
      <c r="JM41" s="7">
        <v>7139</v>
      </c>
      <c r="JN41" s="7">
        <v>3679</v>
      </c>
      <c r="JO41" s="7">
        <v>11481</v>
      </c>
      <c r="JP41" s="7">
        <v>13176</v>
      </c>
      <c r="JQ41" s="7">
        <v>1245</v>
      </c>
      <c r="JR41" s="7">
        <v>2601</v>
      </c>
      <c r="JS41" s="7">
        <v>6661</v>
      </c>
      <c r="JT41" s="7">
        <v>478</v>
      </c>
      <c r="JU41" s="151">
        <v>2592.0279408856277</v>
      </c>
      <c r="JV41" s="151">
        <v>11709.65045771364</v>
      </c>
      <c r="JW41" s="151">
        <v>615.67866875104596</v>
      </c>
      <c r="JX41" s="151">
        <v>32.040185307523544</v>
      </c>
      <c r="JY41" s="7">
        <v>15098</v>
      </c>
      <c r="JZ41" s="7">
        <v>66561</v>
      </c>
      <c r="KA41" s="7">
        <v>17</v>
      </c>
      <c r="KB41" s="7">
        <v>137</v>
      </c>
      <c r="KC41" s="7">
        <v>47</v>
      </c>
      <c r="KD41" s="7">
        <v>6</v>
      </c>
      <c r="KE41" s="7">
        <v>0</v>
      </c>
      <c r="KF41" s="7">
        <v>0</v>
      </c>
      <c r="KG41" s="7">
        <v>184</v>
      </c>
      <c r="KH41" s="7">
        <v>9437</v>
      </c>
      <c r="KI41" s="7">
        <v>51478</v>
      </c>
      <c r="KJ41" s="7">
        <v>5796</v>
      </c>
      <c r="KK41" s="7">
        <v>223</v>
      </c>
      <c r="KL41" s="7">
        <v>11245</v>
      </c>
      <c r="KM41" s="7">
        <v>50800</v>
      </c>
      <c r="KN41" s="7">
        <v>2671</v>
      </c>
      <c r="KO41" s="7">
        <v>139</v>
      </c>
      <c r="KP41" s="7">
        <v>64855</v>
      </c>
      <c r="KQ41" s="7">
        <v>1947</v>
      </c>
      <c r="KR41" s="7">
        <v>9438</v>
      </c>
      <c r="KS41" s="7">
        <v>9438</v>
      </c>
      <c r="KT41" s="7">
        <v>1793</v>
      </c>
      <c r="KU41" s="7">
        <v>665</v>
      </c>
      <c r="KV41" s="7">
        <v>1761</v>
      </c>
      <c r="KW41" s="7">
        <v>5</v>
      </c>
      <c r="KX41" s="7">
        <v>1716</v>
      </c>
      <c r="KY41" s="7">
        <v>632</v>
      </c>
      <c r="KZ41" s="7">
        <v>1722</v>
      </c>
      <c r="LA41" s="7">
        <v>1</v>
      </c>
      <c r="LB41" s="7">
        <v>5560</v>
      </c>
      <c r="LC41" s="7">
        <v>5642</v>
      </c>
      <c r="LD41" s="7">
        <v>2115</v>
      </c>
      <c r="LE41" s="7">
        <v>4003</v>
      </c>
      <c r="LF41" s="7">
        <v>44643</v>
      </c>
      <c r="LG41" s="7">
        <v>53</v>
      </c>
      <c r="LH41" s="7">
        <v>10054</v>
      </c>
      <c r="LI41" s="7">
        <v>1229</v>
      </c>
      <c r="LJ41" s="7">
        <v>4124</v>
      </c>
      <c r="LK41" s="7">
        <v>11</v>
      </c>
      <c r="LL41" s="7">
        <v>2436</v>
      </c>
      <c r="LM41" s="7">
        <v>1298</v>
      </c>
      <c r="LN41" s="7">
        <v>63</v>
      </c>
      <c r="LO41" s="7">
        <v>11520</v>
      </c>
      <c r="LP41" s="7">
        <v>1078</v>
      </c>
      <c r="LQ41" s="7">
        <v>3842</v>
      </c>
      <c r="LR41" s="7">
        <v>9</v>
      </c>
      <c r="LS41" s="7">
        <v>2224</v>
      </c>
      <c r="LT41" s="7">
        <v>967</v>
      </c>
      <c r="LU41" s="232">
        <v>6.1189007921999998</v>
      </c>
      <c r="LV41" s="232">
        <v>6.5377961640000004</v>
      </c>
      <c r="LW41" s="232">
        <v>5.7341537132999996</v>
      </c>
      <c r="LX41" s="7">
        <v>15429</v>
      </c>
      <c r="LY41" s="7">
        <v>66934</v>
      </c>
    </row>
    <row r="42" spans="1:337" x14ac:dyDescent="0.25">
      <c r="A42" t="s">
        <v>106</v>
      </c>
      <c r="B42" t="s">
        <v>107</v>
      </c>
      <c r="C42" s="7">
        <v>10917</v>
      </c>
      <c r="D42">
        <v>12665</v>
      </c>
      <c r="F42">
        <f t="shared" si="2"/>
        <v>-12665</v>
      </c>
      <c r="G42">
        <f t="shared" si="3"/>
        <v>-100</v>
      </c>
      <c r="H42">
        <v>6229</v>
      </c>
      <c r="I42">
        <v>6436</v>
      </c>
      <c r="J42">
        <v>3519</v>
      </c>
      <c r="K42">
        <v>9146</v>
      </c>
      <c r="L42" s="7">
        <v>702</v>
      </c>
      <c r="M42" s="7">
        <v>678</v>
      </c>
      <c r="N42" s="7">
        <v>688</v>
      </c>
      <c r="O42" s="7">
        <v>752</v>
      </c>
      <c r="P42" s="7">
        <v>552</v>
      </c>
      <c r="Q42" s="7">
        <v>407</v>
      </c>
      <c r="R42" s="7">
        <v>355</v>
      </c>
      <c r="S42" s="7">
        <v>411</v>
      </c>
      <c r="T42" s="7">
        <v>336</v>
      </c>
      <c r="U42" s="7">
        <v>325</v>
      </c>
      <c r="V42" s="7">
        <v>255</v>
      </c>
      <c r="W42" s="7">
        <v>231</v>
      </c>
      <c r="X42" s="7">
        <v>153</v>
      </c>
      <c r="Y42" s="7">
        <v>383</v>
      </c>
      <c r="Z42" s="7">
        <v>1</v>
      </c>
      <c r="AA42" s="7">
        <v>655</v>
      </c>
      <c r="AB42" s="7">
        <v>668</v>
      </c>
      <c r="AC42" s="7">
        <v>637</v>
      </c>
      <c r="AD42" s="7">
        <v>696</v>
      </c>
      <c r="AE42" s="7">
        <v>600</v>
      </c>
      <c r="AF42" s="7">
        <v>488</v>
      </c>
      <c r="AG42" s="7">
        <v>508</v>
      </c>
      <c r="AH42" s="7">
        <v>437</v>
      </c>
      <c r="AI42" s="7">
        <v>380</v>
      </c>
      <c r="AJ42" s="7">
        <v>309</v>
      </c>
      <c r="AK42" s="7">
        <v>279</v>
      </c>
      <c r="AL42" s="7">
        <v>208</v>
      </c>
      <c r="AM42" s="7">
        <v>160</v>
      </c>
      <c r="AN42" s="7">
        <v>409</v>
      </c>
      <c r="AO42" s="7">
        <v>2</v>
      </c>
      <c r="AP42">
        <v>11985</v>
      </c>
      <c r="AQ42">
        <v>266</v>
      </c>
      <c r="AR42">
        <v>25</v>
      </c>
      <c r="AS42">
        <v>364</v>
      </c>
      <c r="AT42">
        <v>25</v>
      </c>
      <c r="AU42" s="7">
        <v>4</v>
      </c>
      <c r="AV42" s="7">
        <v>2</v>
      </c>
      <c r="AW42" s="7">
        <v>2</v>
      </c>
      <c r="AX42" s="7">
        <v>28</v>
      </c>
      <c r="AY42" s="7">
        <v>4</v>
      </c>
      <c r="AZ42" s="7">
        <v>4</v>
      </c>
      <c r="BA42" s="7">
        <v>0</v>
      </c>
      <c r="BB42" s="7">
        <v>13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1</v>
      </c>
      <c r="BJ42" s="7">
        <v>0</v>
      </c>
      <c r="BK42" s="7">
        <v>0</v>
      </c>
      <c r="BL42" s="7">
        <v>1</v>
      </c>
      <c r="BM42" s="7">
        <v>1</v>
      </c>
      <c r="BN42" s="7">
        <v>0</v>
      </c>
      <c r="BO42" s="7">
        <v>0</v>
      </c>
      <c r="BP42" s="7">
        <v>1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1</v>
      </c>
      <c r="CE42" s="7">
        <v>2</v>
      </c>
      <c r="CF42" s="7">
        <v>0</v>
      </c>
      <c r="CG42" s="7">
        <v>0</v>
      </c>
      <c r="CH42" s="7">
        <v>2329</v>
      </c>
      <c r="CI42" s="7">
        <v>700</v>
      </c>
      <c r="CJ42" s="7">
        <v>10110</v>
      </c>
      <c r="CK42" s="7">
        <v>2555</v>
      </c>
      <c r="CL42" s="7">
        <v>241</v>
      </c>
      <c r="CM42" s="7">
        <v>426</v>
      </c>
      <c r="CN42" s="7">
        <v>530</v>
      </c>
      <c r="CO42" s="7">
        <v>639</v>
      </c>
      <c r="CP42" s="7">
        <v>543</v>
      </c>
      <c r="CQ42" s="7">
        <v>650</v>
      </c>
      <c r="CR42" s="7">
        <v>2115</v>
      </c>
      <c r="CS42" s="7">
        <v>5391</v>
      </c>
      <c r="CT42" s="7">
        <v>1102</v>
      </c>
      <c r="CU42" s="7">
        <v>304</v>
      </c>
      <c r="CV42" s="7">
        <v>152</v>
      </c>
      <c r="CW42" s="7">
        <v>448</v>
      </c>
      <c r="CX42" s="7">
        <v>102</v>
      </c>
      <c r="CY42" s="7">
        <v>7066</v>
      </c>
      <c r="CZ42" s="7">
        <v>4891</v>
      </c>
      <c r="DA42" s="7">
        <v>335</v>
      </c>
      <c r="DB42" s="7">
        <v>241</v>
      </c>
      <c r="DC42" s="7">
        <v>27</v>
      </c>
      <c r="DD42" s="7">
        <v>359</v>
      </c>
      <c r="DE42" s="7">
        <v>1796</v>
      </c>
      <c r="DF42" s="7">
        <v>6991</v>
      </c>
      <c r="DG42" s="7">
        <v>3519</v>
      </c>
      <c r="DH42" s="7">
        <v>0</v>
      </c>
      <c r="DI42" s="7">
        <v>0</v>
      </c>
      <c r="DJ42" s="7">
        <v>0</v>
      </c>
      <c r="DK42" s="7">
        <v>0</v>
      </c>
      <c r="DL42" s="7">
        <v>2</v>
      </c>
      <c r="DM42" s="7">
        <v>5</v>
      </c>
      <c r="DN42" s="7">
        <v>6</v>
      </c>
      <c r="DO42" s="7">
        <v>1</v>
      </c>
      <c r="DP42" s="7">
        <v>0</v>
      </c>
      <c r="DQ42" s="7">
        <v>0</v>
      </c>
      <c r="DR42" s="7">
        <v>0</v>
      </c>
      <c r="DS42" s="7">
        <v>0</v>
      </c>
      <c r="DT42" s="7">
        <v>108</v>
      </c>
      <c r="DU42" s="7">
        <v>108</v>
      </c>
      <c r="DV42" s="7">
        <v>71</v>
      </c>
      <c r="DW42" s="7">
        <v>84</v>
      </c>
      <c r="DX42" s="7">
        <v>27</v>
      </c>
      <c r="DY42" s="7">
        <v>17</v>
      </c>
      <c r="DZ42" s="7">
        <v>33</v>
      </c>
      <c r="EA42" s="7">
        <v>26</v>
      </c>
      <c r="EB42" s="7">
        <v>7</v>
      </c>
      <c r="EC42" s="7">
        <v>14</v>
      </c>
      <c r="ED42" s="7">
        <v>7</v>
      </c>
      <c r="EE42" s="7">
        <v>6</v>
      </c>
      <c r="EF42" s="7">
        <v>20</v>
      </c>
      <c r="EG42" s="7">
        <v>28</v>
      </c>
      <c r="EH42" s="7">
        <v>139</v>
      </c>
      <c r="EI42" s="7">
        <v>91</v>
      </c>
      <c r="EJ42" s="7">
        <v>25</v>
      </c>
      <c r="EK42" s="7">
        <v>26</v>
      </c>
      <c r="EL42" s="7">
        <v>16</v>
      </c>
      <c r="EM42" s="7">
        <v>6</v>
      </c>
      <c r="EN42" s="7">
        <v>25</v>
      </c>
      <c r="EO42" s="7">
        <v>3322</v>
      </c>
      <c r="EP42" s="7">
        <v>3255</v>
      </c>
      <c r="EQ42" s="7">
        <v>67</v>
      </c>
      <c r="ER42" s="7">
        <v>1220</v>
      </c>
      <c r="ES42" s="7">
        <v>864</v>
      </c>
      <c r="ET42" s="7">
        <v>852</v>
      </c>
      <c r="EU42" s="7">
        <v>12</v>
      </c>
      <c r="EV42" s="7">
        <v>3980</v>
      </c>
      <c r="EW42" s="134">
        <v>49.200710479999998</v>
      </c>
      <c r="EX42" s="134">
        <v>10.022836843</v>
      </c>
      <c r="EY42" s="134">
        <v>12.788632327</v>
      </c>
      <c r="EZ42" s="134">
        <v>27.734077644999999</v>
      </c>
      <c r="FA42" s="134">
        <v>0.2537427049</v>
      </c>
      <c r="FB42" s="7">
        <v>639</v>
      </c>
      <c r="FC42" s="7">
        <v>1400</v>
      </c>
      <c r="FD42" s="7">
        <v>133</v>
      </c>
      <c r="FE42" s="7">
        <v>886</v>
      </c>
      <c r="FF42" s="7">
        <v>12</v>
      </c>
      <c r="FG42" s="7">
        <v>741</v>
      </c>
      <c r="FH42" s="7">
        <v>371</v>
      </c>
      <c r="FI42" s="134">
        <v>38.645013956</v>
      </c>
      <c r="FJ42" s="134">
        <v>33.341791422999997</v>
      </c>
      <c r="FK42" s="134">
        <v>21.238264399999998</v>
      </c>
      <c r="FL42" s="134">
        <v>6.7749302208</v>
      </c>
      <c r="FM42" s="151">
        <v>3439</v>
      </c>
      <c r="FN42" s="151">
        <v>2779</v>
      </c>
      <c r="FO42" s="7">
        <v>586</v>
      </c>
      <c r="FP42" s="7">
        <v>253</v>
      </c>
      <c r="FQ42" s="7">
        <v>17</v>
      </c>
      <c r="FR42" s="7">
        <v>99</v>
      </c>
      <c r="FS42" s="7">
        <v>2386</v>
      </c>
      <c r="FT42" s="7">
        <v>24</v>
      </c>
      <c r="FU42" s="7">
        <v>84</v>
      </c>
      <c r="FV42" s="7">
        <v>11</v>
      </c>
      <c r="FW42" s="7">
        <v>3808</v>
      </c>
      <c r="FX42" s="7">
        <v>2619</v>
      </c>
      <c r="FY42" s="7">
        <v>611</v>
      </c>
      <c r="FZ42" s="7">
        <v>261</v>
      </c>
      <c r="GA42" s="7">
        <v>25</v>
      </c>
      <c r="GB42" s="7">
        <v>100</v>
      </c>
      <c r="GC42" s="7">
        <v>2701</v>
      </c>
      <c r="GD42" s="7">
        <v>18</v>
      </c>
      <c r="GE42" s="7">
        <v>100</v>
      </c>
      <c r="GF42" s="7">
        <v>9</v>
      </c>
      <c r="GG42" s="7">
        <v>408</v>
      </c>
      <c r="GH42" s="7">
        <v>378</v>
      </c>
      <c r="GI42" s="7">
        <v>407</v>
      </c>
      <c r="GJ42" s="7">
        <v>427</v>
      </c>
      <c r="GK42" s="7">
        <v>242</v>
      </c>
      <c r="GL42" s="7">
        <v>199</v>
      </c>
      <c r="GM42" s="7">
        <v>199</v>
      </c>
      <c r="GN42" s="7">
        <v>229</v>
      </c>
      <c r="GO42" s="7">
        <v>176</v>
      </c>
      <c r="GP42" s="7">
        <v>185</v>
      </c>
      <c r="GQ42" s="7">
        <v>149</v>
      </c>
      <c r="GR42" s="7">
        <v>127</v>
      </c>
      <c r="GS42" s="7">
        <v>93</v>
      </c>
      <c r="GT42" s="7">
        <v>88</v>
      </c>
      <c r="GU42" s="7">
        <v>63</v>
      </c>
      <c r="GV42" s="7">
        <v>37</v>
      </c>
      <c r="GW42" s="7">
        <v>20</v>
      </c>
      <c r="GX42" s="7">
        <v>12</v>
      </c>
      <c r="GY42" s="7">
        <v>373</v>
      </c>
      <c r="GZ42" s="7">
        <v>401</v>
      </c>
      <c r="HA42" s="7">
        <v>371</v>
      </c>
      <c r="HB42" s="7">
        <v>391</v>
      </c>
      <c r="HC42" s="7">
        <v>325</v>
      </c>
      <c r="HD42" s="7">
        <v>285</v>
      </c>
      <c r="HE42" s="7">
        <v>315</v>
      </c>
      <c r="HF42" s="7">
        <v>253</v>
      </c>
      <c r="HG42" s="7">
        <v>220</v>
      </c>
      <c r="HH42" s="7">
        <v>200</v>
      </c>
      <c r="HI42" s="7">
        <v>174</v>
      </c>
      <c r="HJ42" s="7">
        <v>143</v>
      </c>
      <c r="HK42" s="7">
        <v>93</v>
      </c>
      <c r="HL42" s="7">
        <v>100</v>
      </c>
      <c r="HM42" s="7">
        <v>72</v>
      </c>
      <c r="HN42" s="7">
        <v>41</v>
      </c>
      <c r="HO42" s="7">
        <v>31</v>
      </c>
      <c r="HP42" s="7">
        <v>20</v>
      </c>
      <c r="HQ42" s="7">
        <v>3022</v>
      </c>
      <c r="HR42" s="7">
        <v>0</v>
      </c>
      <c r="HS42" s="7">
        <v>1</v>
      </c>
      <c r="HT42" s="7">
        <v>0</v>
      </c>
      <c r="HU42" s="7">
        <v>1</v>
      </c>
      <c r="HV42" s="7">
        <v>0</v>
      </c>
      <c r="HW42" s="7">
        <v>0</v>
      </c>
      <c r="HX42" s="7">
        <v>5</v>
      </c>
      <c r="HY42" s="7">
        <v>241</v>
      </c>
      <c r="HZ42" s="7">
        <v>426</v>
      </c>
      <c r="IA42" s="7">
        <v>530</v>
      </c>
      <c r="IB42" s="7">
        <v>639</v>
      </c>
      <c r="IC42" s="7">
        <v>542</v>
      </c>
      <c r="ID42" s="7">
        <v>297</v>
      </c>
      <c r="IE42" s="7">
        <v>165</v>
      </c>
      <c r="IF42" s="7">
        <v>70</v>
      </c>
      <c r="IG42" s="7">
        <v>118</v>
      </c>
      <c r="IH42" s="7">
        <v>446</v>
      </c>
      <c r="II42" s="7">
        <v>866</v>
      </c>
      <c r="IJ42" s="7">
        <v>651</v>
      </c>
      <c r="IK42" s="7">
        <v>554</v>
      </c>
      <c r="IL42" s="7">
        <v>337</v>
      </c>
      <c r="IM42" s="7">
        <v>118</v>
      </c>
      <c r="IN42" s="7">
        <v>35</v>
      </c>
      <c r="IO42" s="7">
        <v>7</v>
      </c>
      <c r="IP42" s="7">
        <v>7</v>
      </c>
      <c r="IQ42" s="7">
        <v>1447</v>
      </c>
      <c r="IR42" s="7">
        <v>1008</v>
      </c>
      <c r="IS42" s="7">
        <v>433</v>
      </c>
      <c r="IT42" s="7">
        <v>105</v>
      </c>
      <c r="IU42" s="7">
        <v>29</v>
      </c>
      <c r="IV42" s="7">
        <v>1197</v>
      </c>
      <c r="IW42" s="7">
        <v>641</v>
      </c>
      <c r="IX42" s="7">
        <v>69</v>
      </c>
      <c r="IY42" s="7">
        <v>66</v>
      </c>
      <c r="IZ42" s="7">
        <v>1</v>
      </c>
      <c r="JA42" s="7">
        <v>1052</v>
      </c>
      <c r="JB42" s="7">
        <v>1235</v>
      </c>
      <c r="JC42" s="7">
        <v>1561</v>
      </c>
      <c r="JD42" s="7">
        <v>3</v>
      </c>
      <c r="JE42" s="7">
        <v>0</v>
      </c>
      <c r="JF42" s="151">
        <v>2860.8683340476337</v>
      </c>
      <c r="JG42" s="151">
        <v>165.73998959162432</v>
      </c>
      <c r="JH42" s="7">
        <v>449</v>
      </c>
      <c r="JI42" s="7">
        <v>2401</v>
      </c>
      <c r="JJ42" s="7">
        <v>172</v>
      </c>
      <c r="JK42" s="7">
        <v>6</v>
      </c>
      <c r="JL42" s="7">
        <v>2152</v>
      </c>
      <c r="JM42" s="7">
        <v>1216</v>
      </c>
      <c r="JN42" s="7">
        <v>600</v>
      </c>
      <c r="JO42" s="7">
        <v>2097</v>
      </c>
      <c r="JP42" s="7">
        <v>2560</v>
      </c>
      <c r="JQ42" s="7">
        <v>202</v>
      </c>
      <c r="JR42" s="7">
        <v>306</v>
      </c>
      <c r="JS42" s="7">
        <v>1635</v>
      </c>
      <c r="JT42" s="7">
        <v>61</v>
      </c>
      <c r="JU42" s="151">
        <v>242.75048980591441</v>
      </c>
      <c r="JV42" s="151">
        <v>2561.4362027796487</v>
      </c>
      <c r="JW42" s="151">
        <v>51.180891446764221</v>
      </c>
      <c r="JX42" s="151">
        <v>5.5007500153064344</v>
      </c>
      <c r="JY42" s="7">
        <v>2938</v>
      </c>
      <c r="JZ42" s="7">
        <v>12635</v>
      </c>
      <c r="KA42" s="7">
        <v>0</v>
      </c>
      <c r="KB42" s="7">
        <v>3</v>
      </c>
      <c r="KC42" s="7">
        <v>0</v>
      </c>
      <c r="KD42" s="7">
        <v>5</v>
      </c>
      <c r="KE42" s="7">
        <v>0</v>
      </c>
      <c r="KF42" s="7">
        <v>0</v>
      </c>
      <c r="KG42" s="7">
        <v>22</v>
      </c>
      <c r="KH42" s="7">
        <v>1744</v>
      </c>
      <c r="KI42" s="7">
        <v>10171</v>
      </c>
      <c r="KJ42" s="7">
        <v>729</v>
      </c>
      <c r="KK42" s="7">
        <v>16</v>
      </c>
      <c r="KL42" s="7">
        <v>1015</v>
      </c>
      <c r="KM42" s="7">
        <v>10710</v>
      </c>
      <c r="KN42" s="7">
        <v>214</v>
      </c>
      <c r="KO42" s="7">
        <v>23</v>
      </c>
      <c r="KP42" s="7">
        <v>11962</v>
      </c>
      <c r="KQ42" s="7">
        <v>693</v>
      </c>
      <c r="KR42" s="7">
        <v>1943</v>
      </c>
      <c r="KS42" s="7">
        <v>1943</v>
      </c>
      <c r="KT42" s="7">
        <v>352</v>
      </c>
      <c r="KU42" s="7">
        <v>105</v>
      </c>
      <c r="KV42" s="7">
        <v>368</v>
      </c>
      <c r="KW42" s="7">
        <v>2</v>
      </c>
      <c r="KX42" s="7">
        <v>327</v>
      </c>
      <c r="KY42" s="7">
        <v>104</v>
      </c>
      <c r="KZ42" s="7">
        <v>333</v>
      </c>
      <c r="LA42" s="7">
        <v>5</v>
      </c>
      <c r="LB42" s="7">
        <v>988</v>
      </c>
      <c r="LC42" s="7">
        <v>986</v>
      </c>
      <c r="LD42" s="7">
        <v>572</v>
      </c>
      <c r="LE42" s="7">
        <v>896</v>
      </c>
      <c r="LF42" s="7">
        <v>8634</v>
      </c>
      <c r="LG42" s="7">
        <v>19</v>
      </c>
      <c r="LH42" s="7">
        <v>1270</v>
      </c>
      <c r="LI42" s="7">
        <v>249</v>
      </c>
      <c r="LJ42" s="7">
        <v>824</v>
      </c>
      <c r="LK42" s="7">
        <v>8</v>
      </c>
      <c r="LL42" s="7">
        <v>832</v>
      </c>
      <c r="LM42" s="7">
        <v>315</v>
      </c>
      <c r="LN42" s="7">
        <v>15</v>
      </c>
      <c r="LO42" s="7">
        <v>1477</v>
      </c>
      <c r="LP42" s="7">
        <v>238</v>
      </c>
      <c r="LQ42" s="7">
        <v>831</v>
      </c>
      <c r="LR42" s="7">
        <v>15</v>
      </c>
      <c r="LS42" s="7">
        <v>746</v>
      </c>
      <c r="LT42" s="7">
        <v>244</v>
      </c>
      <c r="LU42" s="232">
        <v>6.7017869575000004</v>
      </c>
      <c r="LV42" s="232">
        <v>7.0804237900000002</v>
      </c>
      <c r="LW42" s="232">
        <v>6.3496080626999998</v>
      </c>
      <c r="LX42" s="7">
        <v>3028</v>
      </c>
      <c r="LY42" s="7">
        <v>12660</v>
      </c>
    </row>
    <row r="43" spans="1:337" x14ac:dyDescent="0.25">
      <c r="A43" t="s">
        <v>284</v>
      </c>
      <c r="B43" t="s">
        <v>285</v>
      </c>
      <c r="C43" s="7" t="s">
        <v>390</v>
      </c>
      <c r="D43" t="s">
        <v>358</v>
      </c>
      <c r="F43" t="e">
        <f t="shared" si="2"/>
        <v>#VALUE!</v>
      </c>
      <c r="G43" t="e">
        <f t="shared" si="3"/>
        <v>#VALUE!</v>
      </c>
      <c r="H43" t="s">
        <v>358</v>
      </c>
      <c r="I43" t="s">
        <v>358</v>
      </c>
      <c r="J43" t="s">
        <v>358</v>
      </c>
      <c r="K43" t="s">
        <v>358</v>
      </c>
      <c r="AP43" t="s">
        <v>358</v>
      </c>
      <c r="AQ43" t="s">
        <v>358</v>
      </c>
      <c r="AR43" t="s">
        <v>358</v>
      </c>
      <c r="AS43" t="s">
        <v>358</v>
      </c>
      <c r="AT43" t="s">
        <v>358</v>
      </c>
      <c r="AU43" s="7">
        <v>0</v>
      </c>
      <c r="AV43" s="7">
        <v>0</v>
      </c>
      <c r="AW43" s="7">
        <v>0</v>
      </c>
      <c r="AX43" s="7" t="s">
        <v>390</v>
      </c>
      <c r="AY43" s="7" t="s">
        <v>390</v>
      </c>
      <c r="AZ43" s="7" t="s">
        <v>390</v>
      </c>
      <c r="BA43" s="7" t="s">
        <v>390</v>
      </c>
      <c r="BB43" s="7">
        <v>103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134">
        <v>0</v>
      </c>
      <c r="EX43" s="134">
        <v>0</v>
      </c>
      <c r="EY43" s="134">
        <v>0</v>
      </c>
      <c r="EZ43" s="134">
        <v>0</v>
      </c>
      <c r="FA43" s="134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134">
        <v>0</v>
      </c>
      <c r="FJ43" s="134">
        <v>0</v>
      </c>
      <c r="FK43" s="134">
        <v>0</v>
      </c>
      <c r="FL43" s="134">
        <v>0</v>
      </c>
      <c r="FM43" s="151">
        <v>0</v>
      </c>
      <c r="FN43" s="151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0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0</v>
      </c>
      <c r="HP43" s="7">
        <v>0</v>
      </c>
      <c r="HQ43" s="7">
        <v>0</v>
      </c>
      <c r="HR43" s="7">
        <v>0</v>
      </c>
      <c r="HS43" s="7">
        <v>0</v>
      </c>
      <c r="HT43" s="7">
        <v>0</v>
      </c>
      <c r="HU43" s="7">
        <v>0</v>
      </c>
      <c r="HV43" s="7">
        <v>0</v>
      </c>
      <c r="HW43" s="7">
        <v>0</v>
      </c>
      <c r="HX43" s="7">
        <v>0</v>
      </c>
      <c r="HY43" s="7">
        <v>0</v>
      </c>
      <c r="HZ43" s="7">
        <v>0</v>
      </c>
      <c r="IA43" s="7">
        <v>0</v>
      </c>
      <c r="IB43" s="7">
        <v>0</v>
      </c>
      <c r="IC43" s="7">
        <v>0</v>
      </c>
      <c r="ID43" s="7">
        <v>0</v>
      </c>
      <c r="IE43" s="7">
        <v>0</v>
      </c>
      <c r="IF43" s="7">
        <v>0</v>
      </c>
      <c r="IG43" s="7">
        <v>0</v>
      </c>
      <c r="IH43" s="7">
        <v>0</v>
      </c>
      <c r="II43" s="7">
        <v>0</v>
      </c>
      <c r="IJ43" s="7">
        <v>0</v>
      </c>
      <c r="IK43" s="7">
        <v>0</v>
      </c>
      <c r="IL43" s="7">
        <v>0</v>
      </c>
      <c r="IM43" s="7">
        <v>0</v>
      </c>
      <c r="IN43" s="7">
        <v>0</v>
      </c>
      <c r="IO43" s="7">
        <v>0</v>
      </c>
      <c r="IP43" s="7">
        <v>0</v>
      </c>
      <c r="IQ43" s="7">
        <v>0</v>
      </c>
      <c r="IR43" s="7">
        <v>0</v>
      </c>
      <c r="IS43" s="7">
        <v>0</v>
      </c>
      <c r="IT43" s="7">
        <v>0</v>
      </c>
      <c r="IU43" s="7">
        <v>0</v>
      </c>
      <c r="IV43" s="7">
        <v>0</v>
      </c>
      <c r="IW43" s="7">
        <v>0</v>
      </c>
      <c r="IX43" s="7">
        <v>0</v>
      </c>
      <c r="IY43" s="7">
        <v>0</v>
      </c>
      <c r="IZ43" s="7">
        <v>0</v>
      </c>
      <c r="JA43" s="7">
        <v>0</v>
      </c>
      <c r="JB43" s="7">
        <v>0</v>
      </c>
      <c r="JC43" s="7">
        <v>0</v>
      </c>
      <c r="JD43" s="7">
        <v>0</v>
      </c>
      <c r="JE43" s="7">
        <v>0</v>
      </c>
      <c r="JF43" s="151">
        <v>0</v>
      </c>
      <c r="JG43" s="151">
        <v>0</v>
      </c>
      <c r="JH43" s="7">
        <v>0</v>
      </c>
      <c r="JI43" s="7">
        <v>0</v>
      </c>
      <c r="JJ43" s="7">
        <v>0</v>
      </c>
      <c r="JK43" s="7">
        <v>0</v>
      </c>
      <c r="JL43" s="7">
        <v>0</v>
      </c>
      <c r="JM43" s="7">
        <v>0</v>
      </c>
      <c r="JN43" s="7">
        <v>0</v>
      </c>
      <c r="JO43" s="7">
        <v>0</v>
      </c>
      <c r="JP43" s="7">
        <v>0</v>
      </c>
      <c r="JQ43" s="7">
        <v>0</v>
      </c>
      <c r="JR43" s="7">
        <v>0</v>
      </c>
      <c r="JS43" s="7">
        <v>0</v>
      </c>
      <c r="JT43" s="7">
        <v>0</v>
      </c>
      <c r="JU43" s="151">
        <v>0</v>
      </c>
      <c r="JV43" s="151">
        <v>0</v>
      </c>
      <c r="JW43" s="151">
        <v>0</v>
      </c>
      <c r="JX43" s="151">
        <v>0</v>
      </c>
      <c r="JY43" s="7">
        <v>0</v>
      </c>
      <c r="JZ43" s="7">
        <v>0</v>
      </c>
      <c r="KA43" s="7">
        <v>0</v>
      </c>
      <c r="KB43" s="7">
        <v>0</v>
      </c>
      <c r="KC43" s="7">
        <v>0</v>
      </c>
      <c r="KD43" s="7">
        <v>0</v>
      </c>
      <c r="KE43" s="7">
        <v>0</v>
      </c>
      <c r="KF43" s="7">
        <v>0</v>
      </c>
      <c r="KG43" s="7">
        <v>0</v>
      </c>
      <c r="KH43" s="7">
        <v>0</v>
      </c>
      <c r="KI43" s="7">
        <v>0</v>
      </c>
      <c r="KJ43" s="7">
        <v>0</v>
      </c>
      <c r="KK43" s="7">
        <v>0</v>
      </c>
      <c r="KL43" s="7">
        <v>0</v>
      </c>
      <c r="KM43" s="7">
        <v>0</v>
      </c>
      <c r="KN43" s="7">
        <v>0</v>
      </c>
      <c r="KO43" s="7">
        <v>0</v>
      </c>
      <c r="KP43" s="7">
        <v>0</v>
      </c>
      <c r="KQ43" s="7">
        <v>0</v>
      </c>
      <c r="KR43" s="7">
        <v>0</v>
      </c>
      <c r="KS43" s="7">
        <v>0</v>
      </c>
      <c r="KT43" s="7">
        <v>0</v>
      </c>
      <c r="KU43" s="7">
        <v>0</v>
      </c>
      <c r="KV43" s="7">
        <v>0</v>
      </c>
      <c r="KW43" s="7">
        <v>0</v>
      </c>
      <c r="KX43" s="7">
        <v>0</v>
      </c>
      <c r="KY43" s="7">
        <v>0</v>
      </c>
      <c r="KZ43" s="7">
        <v>0</v>
      </c>
      <c r="LA43" s="7">
        <v>0</v>
      </c>
      <c r="LB43" s="7">
        <v>0</v>
      </c>
      <c r="LC43" s="7">
        <v>0</v>
      </c>
      <c r="LD43" s="7">
        <v>0</v>
      </c>
      <c r="LE43" s="7">
        <v>0</v>
      </c>
      <c r="LF43" s="7">
        <v>0</v>
      </c>
      <c r="LG43" s="7">
        <v>0</v>
      </c>
      <c r="LH43" s="7">
        <v>0</v>
      </c>
      <c r="LI43" s="7">
        <v>0</v>
      </c>
      <c r="LJ43" s="7">
        <v>0</v>
      </c>
      <c r="LK43" s="7">
        <v>0</v>
      </c>
      <c r="LL43" s="7">
        <v>0</v>
      </c>
      <c r="LM43" s="7">
        <v>0</v>
      </c>
      <c r="LN43" s="7">
        <v>0</v>
      </c>
      <c r="LO43" s="7">
        <v>0</v>
      </c>
      <c r="LP43" s="7">
        <v>0</v>
      </c>
      <c r="LQ43" s="7">
        <v>0</v>
      </c>
      <c r="LR43" s="7">
        <v>0</v>
      </c>
      <c r="LS43" s="7">
        <v>0</v>
      </c>
      <c r="LT43" s="7">
        <v>0</v>
      </c>
      <c r="LU43" s="232">
        <v>0</v>
      </c>
      <c r="LV43" s="232">
        <v>0</v>
      </c>
      <c r="LW43" s="232">
        <v>0</v>
      </c>
      <c r="LX43" s="7">
        <v>0</v>
      </c>
      <c r="LY43" s="7">
        <v>0</v>
      </c>
    </row>
    <row r="44" spans="1:337" x14ac:dyDescent="0.25">
      <c r="A44" t="s">
        <v>110</v>
      </c>
      <c r="B44" t="s">
        <v>111</v>
      </c>
      <c r="C44" s="7">
        <v>31464</v>
      </c>
      <c r="D44">
        <v>33444</v>
      </c>
      <c r="F44">
        <f t="shared" si="2"/>
        <v>-33444</v>
      </c>
      <c r="G44">
        <f t="shared" si="3"/>
        <v>-100</v>
      </c>
      <c r="H44">
        <v>16355</v>
      </c>
      <c r="I44">
        <v>17089</v>
      </c>
      <c r="J44">
        <v>14069</v>
      </c>
      <c r="K44">
        <v>19375</v>
      </c>
      <c r="L44" s="7">
        <v>1738</v>
      </c>
      <c r="M44" s="7">
        <v>1800</v>
      </c>
      <c r="N44" s="7">
        <v>1884</v>
      </c>
      <c r="O44" s="7">
        <v>1984</v>
      </c>
      <c r="P44" s="7">
        <v>1365</v>
      </c>
      <c r="Q44" s="7">
        <v>1038</v>
      </c>
      <c r="R44" s="7">
        <v>1030</v>
      </c>
      <c r="S44" s="7">
        <v>997</v>
      </c>
      <c r="T44" s="7">
        <v>891</v>
      </c>
      <c r="U44" s="7">
        <v>800</v>
      </c>
      <c r="V44" s="7">
        <v>730</v>
      </c>
      <c r="W44" s="7">
        <v>562</v>
      </c>
      <c r="X44" s="7">
        <v>451</v>
      </c>
      <c r="Y44" s="7">
        <v>1081</v>
      </c>
      <c r="Z44" s="7">
        <v>4</v>
      </c>
      <c r="AA44" s="7">
        <v>1677</v>
      </c>
      <c r="AB44" s="7">
        <v>1773</v>
      </c>
      <c r="AC44" s="7">
        <v>1798</v>
      </c>
      <c r="AD44" s="7">
        <v>1948</v>
      </c>
      <c r="AE44" s="7">
        <v>1612</v>
      </c>
      <c r="AF44" s="7">
        <v>1307</v>
      </c>
      <c r="AG44" s="7">
        <v>1207</v>
      </c>
      <c r="AH44" s="7">
        <v>1205</v>
      </c>
      <c r="AI44" s="7">
        <v>974</v>
      </c>
      <c r="AJ44" s="7">
        <v>810</v>
      </c>
      <c r="AK44" s="7">
        <v>733</v>
      </c>
      <c r="AL44" s="7">
        <v>555</v>
      </c>
      <c r="AM44" s="7">
        <v>424</v>
      </c>
      <c r="AN44" s="7">
        <v>1055</v>
      </c>
      <c r="AO44" s="7">
        <v>11</v>
      </c>
      <c r="AP44">
        <v>32341</v>
      </c>
      <c r="AQ44">
        <v>600</v>
      </c>
      <c r="AR44">
        <v>77</v>
      </c>
      <c r="AS44">
        <v>364</v>
      </c>
      <c r="AT44">
        <v>62</v>
      </c>
      <c r="AU44" s="7">
        <v>82</v>
      </c>
      <c r="AV44" s="7">
        <v>44</v>
      </c>
      <c r="AW44" s="7">
        <v>38</v>
      </c>
      <c r="AX44" s="7">
        <v>88</v>
      </c>
      <c r="AY44" s="7">
        <v>82</v>
      </c>
      <c r="AZ44" s="7">
        <v>54</v>
      </c>
      <c r="BA44" s="7">
        <v>28</v>
      </c>
      <c r="BB44" s="7">
        <v>0</v>
      </c>
      <c r="BC44" s="7">
        <v>2</v>
      </c>
      <c r="BD44" s="7">
        <v>4</v>
      </c>
      <c r="BE44" s="7">
        <v>3</v>
      </c>
      <c r="BF44" s="7">
        <v>2</v>
      </c>
      <c r="BG44" s="7">
        <v>2</v>
      </c>
      <c r="BH44" s="7">
        <v>3</v>
      </c>
      <c r="BI44" s="7">
        <v>3</v>
      </c>
      <c r="BJ44" s="7">
        <v>4</v>
      </c>
      <c r="BK44" s="7">
        <v>4</v>
      </c>
      <c r="BL44" s="7">
        <v>2</v>
      </c>
      <c r="BM44" s="7">
        <v>5</v>
      </c>
      <c r="BN44" s="7">
        <v>4</v>
      </c>
      <c r="BO44" s="7">
        <v>4</v>
      </c>
      <c r="BP44" s="7">
        <v>2</v>
      </c>
      <c r="BQ44" s="7">
        <v>2</v>
      </c>
      <c r="BR44" s="7">
        <v>3</v>
      </c>
      <c r="BS44" s="7">
        <v>3</v>
      </c>
      <c r="BT44" s="7">
        <v>4</v>
      </c>
      <c r="BU44" s="7">
        <v>1</v>
      </c>
      <c r="BV44" s="7">
        <v>3</v>
      </c>
      <c r="BW44" s="7">
        <v>3</v>
      </c>
      <c r="BX44" s="7">
        <v>2</v>
      </c>
      <c r="BY44" s="7">
        <v>1</v>
      </c>
      <c r="BZ44" s="7">
        <v>3</v>
      </c>
      <c r="CA44" s="7">
        <v>2</v>
      </c>
      <c r="CB44" s="7">
        <v>8</v>
      </c>
      <c r="CC44" s="7">
        <v>3</v>
      </c>
      <c r="CD44" s="7">
        <v>25</v>
      </c>
      <c r="CE44" s="7">
        <v>23</v>
      </c>
      <c r="CF44" s="7">
        <v>0</v>
      </c>
      <c r="CG44" s="7">
        <v>0</v>
      </c>
      <c r="CH44" s="7">
        <v>6094</v>
      </c>
      <c r="CI44" s="7">
        <v>1966</v>
      </c>
      <c r="CJ44" s="7">
        <v>26209</v>
      </c>
      <c r="CK44" s="7">
        <v>7235</v>
      </c>
      <c r="CL44" s="7">
        <v>590</v>
      </c>
      <c r="CM44" s="7">
        <v>1105</v>
      </c>
      <c r="CN44" s="7">
        <v>1431</v>
      </c>
      <c r="CO44" s="7">
        <v>1812</v>
      </c>
      <c r="CP44" s="7">
        <v>1460</v>
      </c>
      <c r="CQ44" s="7">
        <v>1662</v>
      </c>
      <c r="CR44" s="7">
        <v>5689</v>
      </c>
      <c r="CS44" s="7">
        <v>14406</v>
      </c>
      <c r="CT44" s="7">
        <v>2876</v>
      </c>
      <c r="CU44" s="7">
        <v>834</v>
      </c>
      <c r="CV44" s="7">
        <v>246</v>
      </c>
      <c r="CW44" s="7">
        <v>1112</v>
      </c>
      <c r="CX44" s="7">
        <v>162</v>
      </c>
      <c r="CY44" s="7">
        <v>19298</v>
      </c>
      <c r="CZ44" s="7">
        <v>12690</v>
      </c>
      <c r="DA44" s="7">
        <v>525</v>
      </c>
      <c r="DB44" s="7">
        <v>590</v>
      </c>
      <c r="DC44" s="7">
        <v>45</v>
      </c>
      <c r="DD44" s="7">
        <v>3083</v>
      </c>
      <c r="DE44" s="7">
        <v>5931</v>
      </c>
      <c r="DF44" s="7">
        <v>10361</v>
      </c>
      <c r="DG44" s="7">
        <v>0</v>
      </c>
      <c r="DH44" s="7">
        <v>14069</v>
      </c>
      <c r="DI44" s="7">
        <v>0</v>
      </c>
      <c r="DJ44" s="7">
        <v>0</v>
      </c>
      <c r="DK44" s="7">
        <v>0</v>
      </c>
      <c r="DL44" s="7">
        <v>61</v>
      </c>
      <c r="DM44" s="7">
        <v>18</v>
      </c>
      <c r="DN44" s="7">
        <v>11</v>
      </c>
      <c r="DO44" s="7">
        <v>0</v>
      </c>
      <c r="DP44" s="7">
        <v>2</v>
      </c>
      <c r="DQ44" s="7">
        <v>0</v>
      </c>
      <c r="DR44" s="7">
        <v>0</v>
      </c>
      <c r="DS44" s="7">
        <v>0</v>
      </c>
      <c r="DT44" s="7">
        <v>264</v>
      </c>
      <c r="DU44" s="7">
        <v>252</v>
      </c>
      <c r="DV44" s="7">
        <v>151</v>
      </c>
      <c r="DW44" s="7">
        <v>133</v>
      </c>
      <c r="DX44" s="7">
        <v>81</v>
      </c>
      <c r="DY44" s="7">
        <v>64</v>
      </c>
      <c r="DZ44" s="7">
        <v>79</v>
      </c>
      <c r="EA44" s="7">
        <v>57</v>
      </c>
      <c r="EB44" s="7">
        <v>32</v>
      </c>
      <c r="EC44" s="7">
        <v>23</v>
      </c>
      <c r="ED44" s="7">
        <v>45</v>
      </c>
      <c r="EE44" s="7">
        <v>12</v>
      </c>
      <c r="EF44" s="7">
        <v>74</v>
      </c>
      <c r="EG44" s="7">
        <v>55</v>
      </c>
      <c r="EH44" s="7">
        <v>312</v>
      </c>
      <c r="EI44" s="7">
        <v>176</v>
      </c>
      <c r="EJ44" s="7">
        <v>76</v>
      </c>
      <c r="EK44" s="7">
        <v>66</v>
      </c>
      <c r="EL44" s="7">
        <v>40</v>
      </c>
      <c r="EM44" s="7">
        <v>36</v>
      </c>
      <c r="EN44" s="7">
        <v>56</v>
      </c>
      <c r="EO44" s="7">
        <v>8704</v>
      </c>
      <c r="EP44" s="7">
        <v>8543</v>
      </c>
      <c r="EQ44" s="7">
        <v>161</v>
      </c>
      <c r="ER44" s="7">
        <v>3306</v>
      </c>
      <c r="ES44" s="7">
        <v>2172</v>
      </c>
      <c r="ET44" s="7">
        <v>2139</v>
      </c>
      <c r="EU44" s="7">
        <v>33</v>
      </c>
      <c r="EV44" s="7">
        <v>10727</v>
      </c>
      <c r="EW44" s="134">
        <v>42.998640512999998</v>
      </c>
      <c r="EX44" s="134">
        <v>10.21557584</v>
      </c>
      <c r="EY44" s="134">
        <v>11.196348806</v>
      </c>
      <c r="EZ44" s="134">
        <v>30.811808117999998</v>
      </c>
      <c r="FA44" s="134">
        <v>4.7776267236000001</v>
      </c>
      <c r="FB44" s="7">
        <v>1492</v>
      </c>
      <c r="FC44" s="7">
        <v>3689</v>
      </c>
      <c r="FD44" s="7">
        <v>343</v>
      </c>
      <c r="FE44" s="7">
        <v>2022</v>
      </c>
      <c r="FF44" s="7">
        <v>10</v>
      </c>
      <c r="FG44" s="7">
        <v>1539</v>
      </c>
      <c r="FH44" s="7">
        <v>1749</v>
      </c>
      <c r="FI44" s="134">
        <v>36.317731598000002</v>
      </c>
      <c r="FJ44" s="134">
        <v>32.724800932000001</v>
      </c>
      <c r="FK44" s="134">
        <v>26.189551369</v>
      </c>
      <c r="FL44" s="134">
        <v>4.7679161001999999</v>
      </c>
      <c r="FM44" s="151">
        <v>8560</v>
      </c>
      <c r="FN44" s="151">
        <v>7781</v>
      </c>
      <c r="FO44" s="7">
        <v>1407</v>
      </c>
      <c r="FP44" s="7">
        <v>1145</v>
      </c>
      <c r="FQ44" s="7">
        <v>296</v>
      </c>
      <c r="FR44" s="7">
        <v>102</v>
      </c>
      <c r="FS44" s="7">
        <v>4717</v>
      </c>
      <c r="FT44" s="7">
        <v>33</v>
      </c>
      <c r="FU44" s="7">
        <v>890</v>
      </c>
      <c r="FV44" s="7">
        <v>14</v>
      </c>
      <c r="FW44" s="7">
        <v>9764</v>
      </c>
      <c r="FX44" s="7">
        <v>7293</v>
      </c>
      <c r="FY44" s="7">
        <v>1489</v>
      </c>
      <c r="FZ44" s="7">
        <v>1270</v>
      </c>
      <c r="GA44" s="7">
        <v>339</v>
      </c>
      <c r="GB44" s="7">
        <v>120</v>
      </c>
      <c r="GC44" s="7">
        <v>5560</v>
      </c>
      <c r="GD44" s="7">
        <v>30</v>
      </c>
      <c r="GE44" s="7">
        <v>1004</v>
      </c>
      <c r="GF44" s="7">
        <v>32</v>
      </c>
      <c r="GG44" s="7">
        <v>957</v>
      </c>
      <c r="GH44" s="7">
        <v>975</v>
      </c>
      <c r="GI44" s="7">
        <v>1046</v>
      </c>
      <c r="GJ44" s="7">
        <v>1004</v>
      </c>
      <c r="GK44" s="7">
        <v>569</v>
      </c>
      <c r="GL44" s="7">
        <v>463</v>
      </c>
      <c r="GM44" s="7">
        <v>540</v>
      </c>
      <c r="GN44" s="7">
        <v>541</v>
      </c>
      <c r="GO44" s="7">
        <v>484</v>
      </c>
      <c r="GP44" s="7">
        <v>448</v>
      </c>
      <c r="GQ44" s="7">
        <v>390</v>
      </c>
      <c r="GR44" s="7">
        <v>296</v>
      </c>
      <c r="GS44" s="7">
        <v>243</v>
      </c>
      <c r="GT44" s="7">
        <v>185</v>
      </c>
      <c r="GU44" s="7">
        <v>164</v>
      </c>
      <c r="GV44" s="7">
        <v>123</v>
      </c>
      <c r="GW44" s="7">
        <v>67</v>
      </c>
      <c r="GX44" s="7">
        <v>63</v>
      </c>
      <c r="GY44" s="7">
        <v>917</v>
      </c>
      <c r="GZ44" s="7">
        <v>961</v>
      </c>
      <c r="HA44" s="7">
        <v>959</v>
      </c>
      <c r="HB44" s="7">
        <v>1085</v>
      </c>
      <c r="HC44" s="7">
        <v>852</v>
      </c>
      <c r="HD44" s="7">
        <v>694</v>
      </c>
      <c r="HE44" s="7">
        <v>735</v>
      </c>
      <c r="HF44" s="7">
        <v>728</v>
      </c>
      <c r="HG44" s="7">
        <v>587</v>
      </c>
      <c r="HH44" s="7">
        <v>537</v>
      </c>
      <c r="HI44" s="7">
        <v>441</v>
      </c>
      <c r="HJ44" s="7">
        <v>350</v>
      </c>
      <c r="HK44" s="7">
        <v>261</v>
      </c>
      <c r="HL44" s="7">
        <v>224</v>
      </c>
      <c r="HM44" s="7">
        <v>200</v>
      </c>
      <c r="HN44" s="7">
        <v>106</v>
      </c>
      <c r="HO44" s="7">
        <v>69</v>
      </c>
      <c r="HP44" s="7">
        <v>52</v>
      </c>
      <c r="HQ44" s="7">
        <v>7980</v>
      </c>
      <c r="HR44" s="7">
        <v>2</v>
      </c>
      <c r="HS44" s="7">
        <v>33</v>
      </c>
      <c r="HT44" s="7">
        <v>1</v>
      </c>
      <c r="HU44" s="7">
        <v>6</v>
      </c>
      <c r="HV44" s="7">
        <v>0</v>
      </c>
      <c r="HW44" s="7">
        <v>1</v>
      </c>
      <c r="HX44" s="7">
        <v>37</v>
      </c>
      <c r="HY44" s="7">
        <v>587</v>
      </c>
      <c r="HZ44" s="7">
        <v>1104</v>
      </c>
      <c r="IA44" s="7">
        <v>1431</v>
      </c>
      <c r="IB44" s="7">
        <v>1811</v>
      </c>
      <c r="IC44" s="7">
        <v>1459</v>
      </c>
      <c r="ID44" s="7">
        <v>804</v>
      </c>
      <c r="IE44" s="7">
        <v>398</v>
      </c>
      <c r="IF44" s="7">
        <v>223</v>
      </c>
      <c r="IG44" s="7">
        <v>236</v>
      </c>
      <c r="IH44" s="7">
        <v>1163</v>
      </c>
      <c r="II44" s="7">
        <v>2354</v>
      </c>
      <c r="IJ44" s="7">
        <v>1975</v>
      </c>
      <c r="IK44" s="7">
        <v>1418</v>
      </c>
      <c r="IL44" s="7">
        <v>690</v>
      </c>
      <c r="IM44" s="7">
        <v>294</v>
      </c>
      <c r="IN44" s="7">
        <v>81</v>
      </c>
      <c r="IO44" s="7">
        <v>25</v>
      </c>
      <c r="IP44" s="7">
        <v>21</v>
      </c>
      <c r="IQ44" s="7">
        <v>4140</v>
      </c>
      <c r="IR44" s="7">
        <v>2635</v>
      </c>
      <c r="IS44" s="7">
        <v>986</v>
      </c>
      <c r="IT44" s="7">
        <v>233</v>
      </c>
      <c r="IU44" s="7">
        <v>30</v>
      </c>
      <c r="IV44" s="7">
        <v>2250</v>
      </c>
      <c r="IW44" s="7">
        <v>296</v>
      </c>
      <c r="IX44" s="7">
        <v>86</v>
      </c>
      <c r="IY44" s="7">
        <v>165</v>
      </c>
      <c r="IZ44" s="7">
        <v>13</v>
      </c>
      <c r="JA44" s="7">
        <v>5211</v>
      </c>
      <c r="JB44" s="7">
        <v>3390</v>
      </c>
      <c r="JC44" s="7">
        <v>3437</v>
      </c>
      <c r="JD44" s="7">
        <v>46</v>
      </c>
      <c r="JE44" s="7">
        <v>154</v>
      </c>
      <c r="JF44" s="151">
        <v>7213.6078161074665</v>
      </c>
      <c r="JG44" s="151">
        <v>803.49353397375035</v>
      </c>
      <c r="JH44" s="7">
        <v>2066</v>
      </c>
      <c r="JI44" s="7">
        <v>5589</v>
      </c>
      <c r="JJ44" s="7">
        <v>364</v>
      </c>
      <c r="JK44" s="7">
        <v>34</v>
      </c>
      <c r="JL44" s="7">
        <v>5670</v>
      </c>
      <c r="JM44" s="7">
        <v>2569</v>
      </c>
      <c r="JN44" s="7">
        <v>1585</v>
      </c>
      <c r="JO44" s="7">
        <v>5570</v>
      </c>
      <c r="JP44" s="7">
        <v>6853</v>
      </c>
      <c r="JQ44" s="7">
        <v>873</v>
      </c>
      <c r="JR44" s="7">
        <v>1352</v>
      </c>
      <c r="JS44" s="7">
        <v>3384</v>
      </c>
      <c r="JT44" s="7">
        <v>304</v>
      </c>
      <c r="JU44" s="151">
        <v>922.06546520203017</v>
      </c>
      <c r="JV44" s="151">
        <v>6111.7564551812566</v>
      </c>
      <c r="JW44" s="151">
        <v>152.55291151931132</v>
      </c>
      <c r="JX44" s="151">
        <v>27.232984204869162</v>
      </c>
      <c r="JY44" s="7">
        <v>7741</v>
      </c>
      <c r="JZ44" s="7">
        <v>33140</v>
      </c>
      <c r="KA44" s="7">
        <v>7</v>
      </c>
      <c r="KB44" s="7">
        <v>105</v>
      </c>
      <c r="KC44" s="7">
        <v>6</v>
      </c>
      <c r="KD44" s="7">
        <v>15</v>
      </c>
      <c r="KE44" s="7">
        <v>0</v>
      </c>
      <c r="KF44" s="7">
        <v>5</v>
      </c>
      <c r="KG44" s="7">
        <v>166</v>
      </c>
      <c r="KH44" s="7">
        <v>8840</v>
      </c>
      <c r="KI44" s="7">
        <v>22961</v>
      </c>
      <c r="KJ44" s="7">
        <v>1464</v>
      </c>
      <c r="KK44" s="7">
        <v>159</v>
      </c>
      <c r="KL44" s="7">
        <v>3826</v>
      </c>
      <c r="KM44" s="7">
        <v>25360</v>
      </c>
      <c r="KN44" s="7">
        <v>633</v>
      </c>
      <c r="KO44" s="7">
        <v>113</v>
      </c>
      <c r="KP44" s="7">
        <v>29932</v>
      </c>
      <c r="KQ44" s="7">
        <v>3334</v>
      </c>
      <c r="KR44" s="7">
        <v>5172</v>
      </c>
      <c r="KS44" s="7">
        <v>5172</v>
      </c>
      <c r="KT44" s="7">
        <v>830</v>
      </c>
      <c r="KU44" s="7">
        <v>305</v>
      </c>
      <c r="KV44" s="7">
        <v>1014</v>
      </c>
      <c r="KW44" s="7">
        <v>2</v>
      </c>
      <c r="KX44" s="7">
        <v>816</v>
      </c>
      <c r="KY44" s="7">
        <v>326</v>
      </c>
      <c r="KZ44" s="7">
        <v>979</v>
      </c>
      <c r="LA44" s="7">
        <v>5</v>
      </c>
      <c r="LB44" s="7">
        <v>2693</v>
      </c>
      <c r="LC44" s="7">
        <v>2650</v>
      </c>
      <c r="LD44" s="7">
        <v>1426</v>
      </c>
      <c r="LE44" s="7">
        <v>2387</v>
      </c>
      <c r="LF44" s="7">
        <v>22759</v>
      </c>
      <c r="LG44" s="7">
        <v>39</v>
      </c>
      <c r="LH44" s="7">
        <v>3490</v>
      </c>
      <c r="LI44" s="7">
        <v>602</v>
      </c>
      <c r="LJ44" s="7">
        <v>1959</v>
      </c>
      <c r="LK44" s="7">
        <v>5</v>
      </c>
      <c r="LL44" s="7">
        <v>1872</v>
      </c>
      <c r="LM44" s="7">
        <v>1459</v>
      </c>
      <c r="LN44" s="7">
        <v>24</v>
      </c>
      <c r="LO44" s="7">
        <v>3802</v>
      </c>
      <c r="LP44" s="7">
        <v>613</v>
      </c>
      <c r="LQ44" s="7">
        <v>2098</v>
      </c>
      <c r="LR44" s="7">
        <v>17</v>
      </c>
      <c r="LS44" s="7">
        <v>1789</v>
      </c>
      <c r="LT44" s="7">
        <v>1179</v>
      </c>
      <c r="LU44" s="232">
        <v>7.0158526891999999</v>
      </c>
      <c r="LV44" s="232">
        <v>7.4231476373999996</v>
      </c>
      <c r="LW44" s="232">
        <v>6.6393609789000001</v>
      </c>
      <c r="LX44" s="7">
        <v>8053</v>
      </c>
      <c r="LY44" s="7">
        <v>33424</v>
      </c>
    </row>
    <row r="45" spans="1:337" x14ac:dyDescent="0.25">
      <c r="A45" t="s">
        <v>114</v>
      </c>
      <c r="B45" t="s">
        <v>115</v>
      </c>
      <c r="C45" s="7">
        <v>20041</v>
      </c>
      <c r="D45">
        <v>22536</v>
      </c>
      <c r="F45">
        <f t="shared" si="2"/>
        <v>-22536</v>
      </c>
      <c r="G45">
        <f t="shared" si="3"/>
        <v>-100</v>
      </c>
      <c r="H45">
        <v>11368</v>
      </c>
      <c r="I45">
        <v>11168</v>
      </c>
      <c r="J45">
        <v>2857</v>
      </c>
      <c r="K45">
        <v>19679</v>
      </c>
      <c r="L45" s="7">
        <v>1444</v>
      </c>
      <c r="M45" s="7">
        <v>1442</v>
      </c>
      <c r="N45" s="7">
        <v>1517</v>
      </c>
      <c r="O45" s="7">
        <v>1376</v>
      </c>
      <c r="P45" s="7">
        <v>1123</v>
      </c>
      <c r="Q45" s="7">
        <v>834</v>
      </c>
      <c r="R45" s="7">
        <v>764</v>
      </c>
      <c r="S45" s="7">
        <v>585</v>
      </c>
      <c r="T45" s="7">
        <v>473</v>
      </c>
      <c r="U45" s="7">
        <v>409</v>
      </c>
      <c r="V45" s="7">
        <v>295</v>
      </c>
      <c r="W45" s="7">
        <v>265</v>
      </c>
      <c r="X45" s="7">
        <v>252</v>
      </c>
      <c r="Y45" s="7">
        <v>459</v>
      </c>
      <c r="Z45" s="7">
        <v>130</v>
      </c>
      <c r="AA45" s="7">
        <v>1401</v>
      </c>
      <c r="AB45" s="7">
        <v>1449</v>
      </c>
      <c r="AC45" s="7">
        <v>1493</v>
      </c>
      <c r="AD45" s="7">
        <v>1382</v>
      </c>
      <c r="AE45" s="7">
        <v>1070</v>
      </c>
      <c r="AF45" s="7">
        <v>879</v>
      </c>
      <c r="AG45" s="7">
        <v>715</v>
      </c>
      <c r="AH45" s="7">
        <v>600</v>
      </c>
      <c r="AI45" s="7">
        <v>419</v>
      </c>
      <c r="AJ45" s="7">
        <v>381</v>
      </c>
      <c r="AK45" s="7">
        <v>334</v>
      </c>
      <c r="AL45" s="7">
        <v>269</v>
      </c>
      <c r="AM45" s="7">
        <v>214</v>
      </c>
      <c r="AN45" s="7">
        <v>428</v>
      </c>
      <c r="AO45" s="7">
        <v>134</v>
      </c>
      <c r="AP45">
        <v>22231</v>
      </c>
      <c r="AQ45">
        <v>16</v>
      </c>
      <c r="AR45">
        <v>3</v>
      </c>
      <c r="AS45">
        <v>1</v>
      </c>
      <c r="AT45">
        <v>285</v>
      </c>
      <c r="AU45" s="7">
        <v>13016</v>
      </c>
      <c r="AV45" s="7">
        <v>6673</v>
      </c>
      <c r="AW45" s="7">
        <v>6343</v>
      </c>
      <c r="AX45" s="7">
        <v>11743</v>
      </c>
      <c r="AY45" s="7">
        <v>13016</v>
      </c>
      <c r="AZ45" s="7">
        <v>11990</v>
      </c>
      <c r="BA45" s="7">
        <v>1026</v>
      </c>
      <c r="BB45" s="7">
        <v>257</v>
      </c>
      <c r="BC45" s="7">
        <v>284</v>
      </c>
      <c r="BD45" s="7">
        <v>742</v>
      </c>
      <c r="BE45" s="7">
        <v>763</v>
      </c>
      <c r="BF45" s="7">
        <v>867</v>
      </c>
      <c r="BG45" s="7">
        <v>799</v>
      </c>
      <c r="BH45" s="7">
        <v>836</v>
      </c>
      <c r="BI45" s="7">
        <v>807</v>
      </c>
      <c r="BJ45" s="7">
        <v>719</v>
      </c>
      <c r="BK45" s="7">
        <v>645</v>
      </c>
      <c r="BL45" s="7">
        <v>554</v>
      </c>
      <c r="BM45" s="7">
        <v>532</v>
      </c>
      <c r="BN45" s="7">
        <v>528</v>
      </c>
      <c r="BO45" s="7">
        <v>457</v>
      </c>
      <c r="BP45" s="7">
        <v>415</v>
      </c>
      <c r="BQ45" s="7">
        <v>443</v>
      </c>
      <c r="BR45" s="7">
        <v>360</v>
      </c>
      <c r="BS45" s="7">
        <v>304</v>
      </c>
      <c r="BT45" s="7">
        <v>331</v>
      </c>
      <c r="BU45" s="7">
        <v>293</v>
      </c>
      <c r="BV45" s="7">
        <v>238</v>
      </c>
      <c r="BW45" s="7">
        <v>267</v>
      </c>
      <c r="BX45" s="7">
        <v>224</v>
      </c>
      <c r="BY45" s="7">
        <v>217</v>
      </c>
      <c r="BZ45" s="7">
        <v>211</v>
      </c>
      <c r="CA45" s="7">
        <v>174</v>
      </c>
      <c r="CB45" s="7">
        <v>391</v>
      </c>
      <c r="CC45" s="7">
        <v>358</v>
      </c>
      <c r="CD45" s="7">
        <v>6062</v>
      </c>
      <c r="CE45" s="7">
        <v>5257</v>
      </c>
      <c r="CF45" s="7">
        <v>565</v>
      </c>
      <c r="CG45" s="7">
        <v>1028</v>
      </c>
      <c r="CH45" s="7">
        <v>4080</v>
      </c>
      <c r="CI45" s="7">
        <v>475</v>
      </c>
      <c r="CJ45" s="7">
        <v>20542</v>
      </c>
      <c r="CK45" s="7">
        <v>1739</v>
      </c>
      <c r="CL45" s="7">
        <v>149</v>
      </c>
      <c r="CM45" s="7">
        <v>458</v>
      </c>
      <c r="CN45" s="7">
        <v>699</v>
      </c>
      <c r="CO45" s="7">
        <v>946</v>
      </c>
      <c r="CP45" s="7">
        <v>714</v>
      </c>
      <c r="CQ45" s="7">
        <v>1589</v>
      </c>
      <c r="CR45" s="7">
        <v>3901</v>
      </c>
      <c r="CS45" s="7">
        <v>11741</v>
      </c>
      <c r="CT45" s="7">
        <v>960</v>
      </c>
      <c r="CU45" s="7">
        <v>415</v>
      </c>
      <c r="CV45" s="7">
        <v>226</v>
      </c>
      <c r="CW45" s="7">
        <v>404</v>
      </c>
      <c r="CX45" s="7">
        <v>16</v>
      </c>
      <c r="CY45" s="7">
        <v>15688</v>
      </c>
      <c r="CZ45" s="7">
        <v>6035</v>
      </c>
      <c r="DA45" s="7">
        <v>79</v>
      </c>
      <c r="DB45" s="7">
        <v>149</v>
      </c>
      <c r="DC45" s="7">
        <v>0</v>
      </c>
      <c r="DD45" s="7">
        <v>5492</v>
      </c>
      <c r="DE45" s="7">
        <v>3910</v>
      </c>
      <c r="DF45" s="7">
        <v>10277</v>
      </c>
      <c r="DG45" s="7">
        <v>2857</v>
      </c>
      <c r="DH45" s="7">
        <v>0</v>
      </c>
      <c r="DI45" s="7">
        <v>0</v>
      </c>
      <c r="DJ45" s="7">
        <v>0</v>
      </c>
      <c r="DK45" s="7">
        <v>0</v>
      </c>
      <c r="DL45" s="7">
        <v>62</v>
      </c>
      <c r="DM45" s="7">
        <v>12</v>
      </c>
      <c r="DN45" s="7">
        <v>12</v>
      </c>
      <c r="DO45" s="7">
        <v>1</v>
      </c>
      <c r="DP45" s="7">
        <v>0</v>
      </c>
      <c r="DQ45" s="7">
        <v>0</v>
      </c>
      <c r="DR45" s="7">
        <v>0</v>
      </c>
      <c r="DS45" s="7">
        <v>0</v>
      </c>
      <c r="DT45" s="7">
        <v>143</v>
      </c>
      <c r="DU45" s="7">
        <v>117</v>
      </c>
      <c r="DV45" s="7">
        <v>92</v>
      </c>
      <c r="DW45" s="7">
        <v>88</v>
      </c>
      <c r="DX45" s="7">
        <v>35</v>
      </c>
      <c r="DY45" s="7">
        <v>36</v>
      </c>
      <c r="DZ45" s="7">
        <v>42</v>
      </c>
      <c r="EA45" s="7">
        <v>34</v>
      </c>
      <c r="EB45" s="7">
        <v>17</v>
      </c>
      <c r="EC45" s="7">
        <v>9</v>
      </c>
      <c r="ED45" s="7">
        <v>14</v>
      </c>
      <c r="EE45" s="7">
        <v>7</v>
      </c>
      <c r="EF45" s="7">
        <v>28</v>
      </c>
      <c r="EG45" s="7">
        <v>32</v>
      </c>
      <c r="EH45" s="7">
        <v>192</v>
      </c>
      <c r="EI45" s="7">
        <v>125</v>
      </c>
      <c r="EJ45" s="7">
        <v>46</v>
      </c>
      <c r="EK45" s="7">
        <v>48</v>
      </c>
      <c r="EL45" s="7">
        <v>16</v>
      </c>
      <c r="EM45" s="7">
        <v>11</v>
      </c>
      <c r="EN45" s="7">
        <v>29</v>
      </c>
      <c r="EO45" s="7">
        <v>6124</v>
      </c>
      <c r="EP45" s="7">
        <v>6010</v>
      </c>
      <c r="EQ45" s="7">
        <v>114</v>
      </c>
      <c r="ER45" s="7">
        <v>1615</v>
      </c>
      <c r="ES45" s="7">
        <v>308</v>
      </c>
      <c r="ET45" s="7">
        <v>281</v>
      </c>
      <c r="EU45" s="7">
        <v>27</v>
      </c>
      <c r="EV45" s="7">
        <v>7241</v>
      </c>
      <c r="EW45" s="134">
        <v>84.855769230999996</v>
      </c>
      <c r="EX45" s="134">
        <v>5.2083333332999997</v>
      </c>
      <c r="EY45" s="134">
        <v>2.4038461538</v>
      </c>
      <c r="EZ45" s="134">
        <v>6.9711538462</v>
      </c>
      <c r="FA45" s="134">
        <v>0.56089743589999996</v>
      </c>
      <c r="FB45" s="7">
        <v>1229</v>
      </c>
      <c r="FC45" s="7">
        <v>3087</v>
      </c>
      <c r="FD45" s="7">
        <v>287</v>
      </c>
      <c r="FE45" s="7">
        <v>1202</v>
      </c>
      <c r="FF45" s="7">
        <v>1</v>
      </c>
      <c r="FG45" s="7">
        <v>512</v>
      </c>
      <c r="FH45" s="7">
        <v>102</v>
      </c>
      <c r="FI45" s="134">
        <v>85.897435896999994</v>
      </c>
      <c r="FJ45" s="134">
        <v>5.4487179486999997</v>
      </c>
      <c r="FK45" s="134">
        <v>7.4519230769</v>
      </c>
      <c r="FL45" s="134">
        <v>1.2019230769</v>
      </c>
      <c r="FM45" s="151">
        <v>7422</v>
      </c>
      <c r="FN45" s="151">
        <v>3777</v>
      </c>
      <c r="FO45" s="7">
        <v>2437</v>
      </c>
      <c r="FP45" s="7">
        <v>67</v>
      </c>
      <c r="FQ45" s="7">
        <v>26</v>
      </c>
      <c r="FR45" s="7">
        <v>1</v>
      </c>
      <c r="FS45" s="7">
        <v>4871</v>
      </c>
      <c r="FT45" s="7">
        <v>11</v>
      </c>
      <c r="FU45" s="7">
        <v>281</v>
      </c>
      <c r="FV45" s="7">
        <v>169</v>
      </c>
      <c r="FW45" s="7">
        <v>7631</v>
      </c>
      <c r="FX45" s="7">
        <v>3376</v>
      </c>
      <c r="FY45" s="7">
        <v>2423</v>
      </c>
      <c r="FZ45" s="7">
        <v>59</v>
      </c>
      <c r="GA45" s="7">
        <v>28</v>
      </c>
      <c r="GB45" s="7">
        <v>4</v>
      </c>
      <c r="GC45" s="7">
        <v>5136</v>
      </c>
      <c r="GD45" s="7">
        <v>10</v>
      </c>
      <c r="GE45" s="7">
        <v>260</v>
      </c>
      <c r="GF45" s="7">
        <v>161</v>
      </c>
      <c r="GG45" s="7">
        <v>887</v>
      </c>
      <c r="GH45" s="7">
        <v>990</v>
      </c>
      <c r="GI45" s="7">
        <v>1031</v>
      </c>
      <c r="GJ45" s="7">
        <v>877</v>
      </c>
      <c r="GK45" s="7">
        <v>666</v>
      </c>
      <c r="GL45" s="7">
        <v>554</v>
      </c>
      <c r="GM45" s="7">
        <v>505</v>
      </c>
      <c r="GN45" s="7">
        <v>408</v>
      </c>
      <c r="GO45" s="7">
        <v>325</v>
      </c>
      <c r="GP45" s="7">
        <v>278</v>
      </c>
      <c r="GQ45" s="7">
        <v>205</v>
      </c>
      <c r="GR45" s="7">
        <v>181</v>
      </c>
      <c r="GS45" s="7">
        <v>174</v>
      </c>
      <c r="GT45" s="7">
        <v>106</v>
      </c>
      <c r="GU45" s="7">
        <v>99</v>
      </c>
      <c r="GV45" s="7">
        <v>63</v>
      </c>
      <c r="GW45" s="7">
        <v>38</v>
      </c>
      <c r="GX45" s="7">
        <v>34</v>
      </c>
      <c r="GY45" s="7">
        <v>839</v>
      </c>
      <c r="GZ45" s="7">
        <v>1021</v>
      </c>
      <c r="HA45" s="7">
        <v>1038</v>
      </c>
      <c r="HB45" s="7">
        <v>884</v>
      </c>
      <c r="HC45" s="7">
        <v>680</v>
      </c>
      <c r="HD45" s="7">
        <v>640</v>
      </c>
      <c r="HE45" s="7">
        <v>525</v>
      </c>
      <c r="HF45" s="7">
        <v>446</v>
      </c>
      <c r="HG45" s="7">
        <v>315</v>
      </c>
      <c r="HH45" s="7">
        <v>296</v>
      </c>
      <c r="HI45" s="7">
        <v>250</v>
      </c>
      <c r="HJ45" s="7">
        <v>203</v>
      </c>
      <c r="HK45" s="7">
        <v>169</v>
      </c>
      <c r="HL45" s="7">
        <v>101</v>
      </c>
      <c r="HM45" s="7">
        <v>111</v>
      </c>
      <c r="HN45" s="7">
        <v>45</v>
      </c>
      <c r="HO45" s="7">
        <v>34</v>
      </c>
      <c r="HP45" s="7">
        <v>29</v>
      </c>
      <c r="HQ45" s="7">
        <v>4528</v>
      </c>
      <c r="HR45" s="7">
        <v>4</v>
      </c>
      <c r="HS45" s="7">
        <v>1</v>
      </c>
      <c r="HT45" s="7">
        <v>0</v>
      </c>
      <c r="HU45" s="7">
        <v>0</v>
      </c>
      <c r="HV45" s="7">
        <v>0</v>
      </c>
      <c r="HW45" s="7">
        <v>0</v>
      </c>
      <c r="HX45" s="7">
        <v>107</v>
      </c>
      <c r="HY45" s="7">
        <v>149</v>
      </c>
      <c r="HZ45" s="7">
        <v>458</v>
      </c>
      <c r="IA45" s="7">
        <v>699</v>
      </c>
      <c r="IB45" s="7">
        <v>946</v>
      </c>
      <c r="IC45" s="7">
        <v>714</v>
      </c>
      <c r="ID45" s="7">
        <v>631</v>
      </c>
      <c r="IE45" s="7">
        <v>377</v>
      </c>
      <c r="IF45" s="7">
        <v>246</v>
      </c>
      <c r="IG45" s="7">
        <v>335</v>
      </c>
      <c r="IH45" s="7">
        <v>321</v>
      </c>
      <c r="II45" s="7">
        <v>1979</v>
      </c>
      <c r="IJ45" s="7">
        <v>1403</v>
      </c>
      <c r="IK45" s="7">
        <v>585</v>
      </c>
      <c r="IL45" s="7">
        <v>177</v>
      </c>
      <c r="IM45" s="7">
        <v>45</v>
      </c>
      <c r="IN45" s="7">
        <v>7</v>
      </c>
      <c r="IO45" s="7">
        <v>1</v>
      </c>
      <c r="IP45" s="7">
        <v>3</v>
      </c>
      <c r="IQ45" s="7">
        <v>2442</v>
      </c>
      <c r="IR45" s="7">
        <v>1452</v>
      </c>
      <c r="IS45" s="7">
        <v>464</v>
      </c>
      <c r="IT45" s="7">
        <v>141</v>
      </c>
      <c r="IU45" s="7">
        <v>34</v>
      </c>
      <c r="IV45" s="7">
        <v>712</v>
      </c>
      <c r="IW45" s="7">
        <v>2714</v>
      </c>
      <c r="IX45" s="7">
        <v>43</v>
      </c>
      <c r="IY45" s="7">
        <v>109</v>
      </c>
      <c r="IZ45" s="7">
        <v>3</v>
      </c>
      <c r="JA45" s="7">
        <v>945</v>
      </c>
      <c r="JB45" s="7">
        <v>1426</v>
      </c>
      <c r="JC45" s="7">
        <v>405</v>
      </c>
      <c r="JD45" s="7">
        <v>184</v>
      </c>
      <c r="JE45" s="7">
        <v>240</v>
      </c>
      <c r="JF45" s="151">
        <v>4418.028812146993</v>
      </c>
      <c r="JG45" s="151">
        <v>106.1013814031877</v>
      </c>
      <c r="JH45" s="7">
        <v>791</v>
      </c>
      <c r="JI45" s="7">
        <v>3702</v>
      </c>
      <c r="JJ45" s="7">
        <v>42</v>
      </c>
      <c r="JK45" s="7">
        <v>20</v>
      </c>
      <c r="JL45" s="7">
        <v>1195</v>
      </c>
      <c r="JM45" s="7">
        <v>191</v>
      </c>
      <c r="JN45" s="7">
        <v>136</v>
      </c>
      <c r="JO45" s="7">
        <v>2051</v>
      </c>
      <c r="JP45" s="7">
        <v>2439</v>
      </c>
      <c r="JQ45" s="7">
        <v>58</v>
      </c>
      <c r="JR45" s="7">
        <v>129</v>
      </c>
      <c r="JS45" s="7">
        <v>171</v>
      </c>
      <c r="JT45" s="7">
        <v>10</v>
      </c>
      <c r="JU45" s="151">
        <v>173.36025323680764</v>
      </c>
      <c r="JV45" s="151">
        <v>1956.8447452626449</v>
      </c>
      <c r="JW45" s="151">
        <v>2236.3063799026399</v>
      </c>
      <c r="JX45" s="151">
        <v>51.517433744900387</v>
      </c>
      <c r="JY45" s="7">
        <v>4206</v>
      </c>
      <c r="JZ45" s="7">
        <v>22167</v>
      </c>
      <c r="KA45" s="7">
        <v>12</v>
      </c>
      <c r="KB45" s="7">
        <v>1</v>
      </c>
      <c r="KC45" s="7">
        <v>0</v>
      </c>
      <c r="KD45" s="7">
        <v>0</v>
      </c>
      <c r="KE45" s="7">
        <v>0</v>
      </c>
      <c r="KF45" s="7">
        <v>0</v>
      </c>
      <c r="KG45" s="7">
        <v>356</v>
      </c>
      <c r="KH45" s="7">
        <v>3891</v>
      </c>
      <c r="KI45" s="7">
        <v>18096</v>
      </c>
      <c r="KJ45" s="7">
        <v>194</v>
      </c>
      <c r="KK45" s="7">
        <v>100</v>
      </c>
      <c r="KL45" s="7">
        <v>848</v>
      </c>
      <c r="KM45" s="7">
        <v>9572</v>
      </c>
      <c r="KN45" s="7">
        <v>10939</v>
      </c>
      <c r="KO45" s="7">
        <v>252</v>
      </c>
      <c r="KP45" s="7">
        <v>21611</v>
      </c>
      <c r="KQ45" s="7">
        <v>519</v>
      </c>
      <c r="KR45" s="7">
        <v>3595</v>
      </c>
      <c r="KS45" s="7">
        <v>3595</v>
      </c>
      <c r="KT45" s="7">
        <v>846</v>
      </c>
      <c r="KU45" s="7">
        <v>248</v>
      </c>
      <c r="KV45" s="7">
        <v>581</v>
      </c>
      <c r="KW45" s="7">
        <v>0</v>
      </c>
      <c r="KX45" s="7">
        <v>846</v>
      </c>
      <c r="KY45" s="7">
        <v>248</v>
      </c>
      <c r="KZ45" s="7">
        <v>498</v>
      </c>
      <c r="LA45" s="7">
        <v>0</v>
      </c>
      <c r="LB45" s="7">
        <v>1870</v>
      </c>
      <c r="LC45" s="7">
        <v>1851</v>
      </c>
      <c r="LD45" s="7">
        <v>1418</v>
      </c>
      <c r="LE45" s="7">
        <v>2308</v>
      </c>
      <c r="LF45" s="7">
        <v>13526</v>
      </c>
      <c r="LG45" s="7">
        <v>11</v>
      </c>
      <c r="LH45" s="7">
        <v>3013</v>
      </c>
      <c r="LI45" s="7">
        <v>499</v>
      </c>
      <c r="LJ45" s="7">
        <v>1254</v>
      </c>
      <c r="LK45" s="7">
        <v>1</v>
      </c>
      <c r="LL45" s="7">
        <v>667</v>
      </c>
      <c r="LM45" s="7">
        <v>97</v>
      </c>
      <c r="LN45" s="7">
        <v>18</v>
      </c>
      <c r="LO45" s="7">
        <v>2931</v>
      </c>
      <c r="LP45" s="7">
        <v>431</v>
      </c>
      <c r="LQ45" s="7">
        <v>930</v>
      </c>
      <c r="LR45" s="7">
        <v>0</v>
      </c>
      <c r="LS45" s="7">
        <v>380</v>
      </c>
      <c r="LT45" s="7">
        <v>55</v>
      </c>
      <c r="LU45" s="232">
        <v>4.8790328562000003</v>
      </c>
      <c r="LV45" s="232">
        <v>5.4260129183999997</v>
      </c>
      <c r="LW45" s="232">
        <v>4.3204916804</v>
      </c>
      <c r="LX45" s="7">
        <v>4555</v>
      </c>
      <c r="LY45" s="7">
        <v>22281</v>
      </c>
    </row>
    <row r="46" spans="1:337" x14ac:dyDescent="0.25">
      <c r="A46" t="s">
        <v>112</v>
      </c>
      <c r="B46" t="s">
        <v>113</v>
      </c>
      <c r="C46" s="7">
        <v>18630</v>
      </c>
      <c r="D46">
        <v>21507</v>
      </c>
      <c r="F46">
        <f t="shared" si="2"/>
        <v>-21507</v>
      </c>
      <c r="G46">
        <f t="shared" si="3"/>
        <v>-100</v>
      </c>
      <c r="H46">
        <v>10599</v>
      </c>
      <c r="I46">
        <v>10908</v>
      </c>
      <c r="J46">
        <v>0</v>
      </c>
      <c r="K46">
        <v>21507</v>
      </c>
      <c r="L46" s="7">
        <v>1436</v>
      </c>
      <c r="M46" s="7">
        <v>1451</v>
      </c>
      <c r="N46" s="7">
        <v>1504</v>
      </c>
      <c r="O46" s="7">
        <v>1225</v>
      </c>
      <c r="P46" s="7">
        <v>837</v>
      </c>
      <c r="Q46" s="7">
        <v>650</v>
      </c>
      <c r="R46" s="7">
        <v>613</v>
      </c>
      <c r="S46" s="7">
        <v>549</v>
      </c>
      <c r="T46" s="7">
        <v>471</v>
      </c>
      <c r="U46" s="7">
        <v>386</v>
      </c>
      <c r="V46" s="7">
        <v>271</v>
      </c>
      <c r="W46" s="7">
        <v>307</v>
      </c>
      <c r="X46" s="7">
        <v>231</v>
      </c>
      <c r="Y46" s="7">
        <v>556</v>
      </c>
      <c r="Z46" s="7">
        <v>112</v>
      </c>
      <c r="AA46" s="7">
        <v>1380</v>
      </c>
      <c r="AB46" s="7">
        <v>1541</v>
      </c>
      <c r="AC46" s="7">
        <v>1397</v>
      </c>
      <c r="AD46" s="7">
        <v>1254</v>
      </c>
      <c r="AE46" s="7">
        <v>923</v>
      </c>
      <c r="AF46" s="7">
        <v>735</v>
      </c>
      <c r="AG46" s="7">
        <v>661</v>
      </c>
      <c r="AH46" s="7">
        <v>591</v>
      </c>
      <c r="AI46" s="7">
        <v>456</v>
      </c>
      <c r="AJ46" s="7">
        <v>399</v>
      </c>
      <c r="AK46" s="7">
        <v>317</v>
      </c>
      <c r="AL46" s="7">
        <v>335</v>
      </c>
      <c r="AM46" s="7">
        <v>271</v>
      </c>
      <c r="AN46" s="7">
        <v>536</v>
      </c>
      <c r="AO46" s="7">
        <v>112</v>
      </c>
      <c r="AP46">
        <v>21245</v>
      </c>
      <c r="AQ46">
        <v>14</v>
      </c>
      <c r="AR46">
        <v>1</v>
      </c>
      <c r="AS46" t="s">
        <v>358</v>
      </c>
      <c r="AT46">
        <v>247</v>
      </c>
      <c r="AU46" s="7">
        <v>18611</v>
      </c>
      <c r="AV46" s="7">
        <v>9124</v>
      </c>
      <c r="AW46" s="7">
        <v>9487</v>
      </c>
      <c r="AX46" s="7">
        <v>14244</v>
      </c>
      <c r="AY46" s="7">
        <v>18611</v>
      </c>
      <c r="AZ46" s="7">
        <v>18611</v>
      </c>
      <c r="BA46" s="7">
        <v>0</v>
      </c>
      <c r="BB46" s="7">
        <v>536</v>
      </c>
      <c r="BC46" s="7">
        <v>565</v>
      </c>
      <c r="BD46" s="7">
        <v>1346</v>
      </c>
      <c r="BE46" s="7">
        <v>1441</v>
      </c>
      <c r="BF46" s="7">
        <v>1423</v>
      </c>
      <c r="BG46" s="7">
        <v>1306</v>
      </c>
      <c r="BH46" s="7">
        <v>1143</v>
      </c>
      <c r="BI46" s="7">
        <v>1181</v>
      </c>
      <c r="BJ46" s="7">
        <v>796</v>
      </c>
      <c r="BK46" s="7">
        <v>877</v>
      </c>
      <c r="BL46" s="7">
        <v>616</v>
      </c>
      <c r="BM46" s="7">
        <v>690</v>
      </c>
      <c r="BN46" s="7">
        <v>588</v>
      </c>
      <c r="BO46" s="7">
        <v>625</v>
      </c>
      <c r="BP46" s="7">
        <v>525</v>
      </c>
      <c r="BQ46" s="7">
        <v>557</v>
      </c>
      <c r="BR46" s="7">
        <v>452</v>
      </c>
      <c r="BS46" s="7">
        <v>442</v>
      </c>
      <c r="BT46" s="7">
        <v>367</v>
      </c>
      <c r="BU46" s="7">
        <v>388</v>
      </c>
      <c r="BV46" s="7">
        <v>267</v>
      </c>
      <c r="BW46" s="7">
        <v>307</v>
      </c>
      <c r="BX46" s="7">
        <v>300</v>
      </c>
      <c r="BY46" s="7">
        <v>325</v>
      </c>
      <c r="BZ46" s="7">
        <v>227</v>
      </c>
      <c r="CA46" s="7">
        <v>266</v>
      </c>
      <c r="CB46" s="7">
        <v>538</v>
      </c>
      <c r="CC46" s="7">
        <v>517</v>
      </c>
      <c r="CD46" s="7">
        <v>6655</v>
      </c>
      <c r="CE46" s="7">
        <v>5393</v>
      </c>
      <c r="CF46" s="7">
        <v>2435</v>
      </c>
      <c r="CG46" s="7">
        <v>4049</v>
      </c>
      <c r="CH46" s="7">
        <v>3468</v>
      </c>
      <c r="CI46" s="7">
        <v>476</v>
      </c>
      <c r="CJ46" s="7">
        <v>19520</v>
      </c>
      <c r="CK46" s="7">
        <v>1765</v>
      </c>
      <c r="CL46" s="7">
        <v>147</v>
      </c>
      <c r="CM46" s="7">
        <v>451</v>
      </c>
      <c r="CN46" s="7">
        <v>425</v>
      </c>
      <c r="CO46" s="7">
        <v>542</v>
      </c>
      <c r="CP46" s="7">
        <v>613</v>
      </c>
      <c r="CQ46" s="7">
        <v>1766</v>
      </c>
      <c r="CR46" s="7">
        <v>3320</v>
      </c>
      <c r="CS46" s="7">
        <v>12198</v>
      </c>
      <c r="CT46" s="7">
        <v>767</v>
      </c>
      <c r="CU46" s="7">
        <v>316</v>
      </c>
      <c r="CV46" s="7">
        <v>204</v>
      </c>
      <c r="CW46" s="7">
        <v>392</v>
      </c>
      <c r="CX46" s="7">
        <v>14</v>
      </c>
      <c r="CY46" s="7">
        <v>14872</v>
      </c>
      <c r="CZ46" s="7">
        <v>5382</v>
      </c>
      <c r="DA46" s="7">
        <v>58</v>
      </c>
      <c r="DB46" s="7">
        <v>147</v>
      </c>
      <c r="DC46" s="7">
        <v>2</v>
      </c>
      <c r="DD46" s="7">
        <v>3678</v>
      </c>
      <c r="DE46" s="7">
        <v>3948</v>
      </c>
      <c r="DF46" s="7">
        <v>13881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35</v>
      </c>
      <c r="DM46" s="7">
        <v>11</v>
      </c>
      <c r="DN46" s="7">
        <v>15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107</v>
      </c>
      <c r="DU46" s="7">
        <v>122</v>
      </c>
      <c r="DV46" s="7">
        <v>36</v>
      </c>
      <c r="DW46" s="7">
        <v>42</v>
      </c>
      <c r="DX46" s="7">
        <v>19</v>
      </c>
      <c r="DY46" s="7">
        <v>16</v>
      </c>
      <c r="DZ46" s="7">
        <v>22</v>
      </c>
      <c r="EA46" s="7">
        <v>17</v>
      </c>
      <c r="EB46" s="7">
        <v>3</v>
      </c>
      <c r="EC46" s="7">
        <v>5</v>
      </c>
      <c r="ED46" s="7">
        <v>6</v>
      </c>
      <c r="EE46" s="7">
        <v>4</v>
      </c>
      <c r="EF46" s="7">
        <v>42</v>
      </c>
      <c r="EG46" s="7">
        <v>44</v>
      </c>
      <c r="EH46" s="7">
        <v>193</v>
      </c>
      <c r="EI46" s="7">
        <v>63</v>
      </c>
      <c r="EJ46" s="7">
        <v>28</v>
      </c>
      <c r="EK46" s="7">
        <v>29</v>
      </c>
      <c r="EL46" s="7">
        <v>4</v>
      </c>
      <c r="EM46" s="7">
        <v>7</v>
      </c>
      <c r="EN46" s="7">
        <v>76</v>
      </c>
      <c r="EO46" s="7">
        <v>5141</v>
      </c>
      <c r="EP46" s="7">
        <v>5072</v>
      </c>
      <c r="EQ46" s="7">
        <v>69</v>
      </c>
      <c r="ER46" s="7">
        <v>1829</v>
      </c>
      <c r="ES46" s="7">
        <v>1610</v>
      </c>
      <c r="ET46" s="7">
        <v>1595</v>
      </c>
      <c r="EU46" s="7">
        <v>15</v>
      </c>
      <c r="EV46" s="7">
        <v>5668</v>
      </c>
      <c r="EW46" s="134">
        <v>84.722848130000003</v>
      </c>
      <c r="EX46" s="134">
        <v>7.6160432626999999</v>
      </c>
      <c r="EY46" s="134">
        <v>1.4871563767</v>
      </c>
      <c r="EZ46" s="134">
        <v>4.6717740723999999</v>
      </c>
      <c r="FA46" s="134">
        <v>1.5021781583</v>
      </c>
      <c r="FB46" s="7">
        <v>1160</v>
      </c>
      <c r="FC46" s="7">
        <v>3940</v>
      </c>
      <c r="FD46" s="7">
        <v>173</v>
      </c>
      <c r="FE46" s="7">
        <v>1101</v>
      </c>
      <c r="FF46" s="7">
        <v>2</v>
      </c>
      <c r="FG46" s="7">
        <v>304</v>
      </c>
      <c r="FH46" s="7">
        <v>63</v>
      </c>
      <c r="FI46" s="134">
        <v>87.021180712000003</v>
      </c>
      <c r="FJ46" s="134">
        <v>5.4829502778999997</v>
      </c>
      <c r="FK46" s="134">
        <v>4.3112513143999998</v>
      </c>
      <c r="FL46" s="134">
        <v>3.1846176957000001</v>
      </c>
      <c r="FM46" s="151">
        <v>8529</v>
      </c>
      <c r="FN46" s="151">
        <v>1925</v>
      </c>
      <c r="FO46" s="7">
        <v>2636</v>
      </c>
      <c r="FP46" s="7">
        <v>33</v>
      </c>
      <c r="FQ46" s="7">
        <v>8</v>
      </c>
      <c r="FR46" s="7">
        <v>4</v>
      </c>
      <c r="FS46" s="7">
        <v>5698</v>
      </c>
      <c r="FT46" s="7">
        <v>365</v>
      </c>
      <c r="FU46" s="7">
        <v>213</v>
      </c>
      <c r="FV46" s="7">
        <v>145</v>
      </c>
      <c r="FW46" s="7">
        <v>8787</v>
      </c>
      <c r="FX46" s="7">
        <v>1970</v>
      </c>
      <c r="FY46" s="7">
        <v>2688</v>
      </c>
      <c r="FZ46" s="7">
        <v>26</v>
      </c>
      <c r="GA46" s="7">
        <v>7</v>
      </c>
      <c r="GB46" s="7">
        <v>2</v>
      </c>
      <c r="GC46" s="7">
        <v>5912</v>
      </c>
      <c r="GD46" s="7">
        <v>372</v>
      </c>
      <c r="GE46" s="7">
        <v>195</v>
      </c>
      <c r="GF46" s="7">
        <v>151</v>
      </c>
      <c r="GG46" s="7">
        <v>1101</v>
      </c>
      <c r="GH46" s="7">
        <v>1199</v>
      </c>
      <c r="GI46" s="7">
        <v>1251</v>
      </c>
      <c r="GJ46" s="7">
        <v>1008</v>
      </c>
      <c r="GK46" s="7">
        <v>638</v>
      </c>
      <c r="GL46" s="7">
        <v>516</v>
      </c>
      <c r="GM46" s="7">
        <v>500</v>
      </c>
      <c r="GN46" s="7">
        <v>461</v>
      </c>
      <c r="GO46" s="7">
        <v>392</v>
      </c>
      <c r="GP46" s="7">
        <v>328</v>
      </c>
      <c r="GQ46" s="7">
        <v>221</v>
      </c>
      <c r="GR46" s="7">
        <v>261</v>
      </c>
      <c r="GS46" s="7">
        <v>182</v>
      </c>
      <c r="GT46" s="7">
        <v>160</v>
      </c>
      <c r="GU46" s="7">
        <v>169</v>
      </c>
      <c r="GV46" s="7">
        <v>61</v>
      </c>
      <c r="GW46" s="7">
        <v>44</v>
      </c>
      <c r="GX46" s="7">
        <v>36</v>
      </c>
      <c r="GY46" s="7">
        <v>1039</v>
      </c>
      <c r="GZ46" s="7">
        <v>1245</v>
      </c>
      <c r="HA46" s="7">
        <v>1172</v>
      </c>
      <c r="HB46" s="7">
        <v>1014</v>
      </c>
      <c r="HC46" s="7">
        <v>692</v>
      </c>
      <c r="HD46" s="7">
        <v>594</v>
      </c>
      <c r="HE46" s="7">
        <v>555</v>
      </c>
      <c r="HF46" s="7">
        <v>511</v>
      </c>
      <c r="HG46" s="7">
        <v>390</v>
      </c>
      <c r="HH46" s="7">
        <v>354</v>
      </c>
      <c r="HI46" s="7">
        <v>268</v>
      </c>
      <c r="HJ46" s="7">
        <v>281</v>
      </c>
      <c r="HK46" s="7">
        <v>228</v>
      </c>
      <c r="HL46" s="7">
        <v>151</v>
      </c>
      <c r="HM46" s="7">
        <v>153</v>
      </c>
      <c r="HN46" s="7">
        <v>55</v>
      </c>
      <c r="HO46" s="7">
        <v>27</v>
      </c>
      <c r="HP46" s="7">
        <v>57</v>
      </c>
      <c r="HQ46" s="7">
        <v>3923</v>
      </c>
      <c r="HR46" s="7">
        <v>1</v>
      </c>
      <c r="HS46" s="7">
        <v>0</v>
      </c>
      <c r="HT46" s="7">
        <v>1</v>
      </c>
      <c r="HU46" s="7">
        <v>1</v>
      </c>
      <c r="HV46" s="7">
        <v>0</v>
      </c>
      <c r="HW46" s="7">
        <v>0</v>
      </c>
      <c r="HX46" s="7">
        <v>92</v>
      </c>
      <c r="HY46" s="7">
        <v>147</v>
      </c>
      <c r="HZ46" s="7">
        <v>451</v>
      </c>
      <c r="IA46" s="7">
        <v>425</v>
      </c>
      <c r="IB46" s="7">
        <v>542</v>
      </c>
      <c r="IC46" s="7">
        <v>613</v>
      </c>
      <c r="ID46" s="7">
        <v>563</v>
      </c>
      <c r="IE46" s="7">
        <v>397</v>
      </c>
      <c r="IF46" s="7">
        <v>305</v>
      </c>
      <c r="IG46" s="7">
        <v>500</v>
      </c>
      <c r="IH46" s="7">
        <v>68</v>
      </c>
      <c r="II46" s="7">
        <v>1770</v>
      </c>
      <c r="IJ46" s="7">
        <v>1388</v>
      </c>
      <c r="IK46" s="7">
        <v>458</v>
      </c>
      <c r="IL46" s="7">
        <v>153</v>
      </c>
      <c r="IM46" s="7">
        <v>33</v>
      </c>
      <c r="IN46" s="7">
        <v>18</v>
      </c>
      <c r="IO46" s="7">
        <v>4</v>
      </c>
      <c r="IP46" s="7">
        <v>2</v>
      </c>
      <c r="IQ46" s="7">
        <v>1849</v>
      </c>
      <c r="IR46" s="7">
        <v>1391</v>
      </c>
      <c r="IS46" s="7">
        <v>453</v>
      </c>
      <c r="IT46" s="7">
        <v>156</v>
      </c>
      <c r="IU46" s="7">
        <v>48</v>
      </c>
      <c r="IV46" s="7">
        <v>931</v>
      </c>
      <c r="IW46" s="7">
        <v>1486</v>
      </c>
      <c r="IX46" s="7">
        <v>244</v>
      </c>
      <c r="IY46" s="7">
        <v>32</v>
      </c>
      <c r="IZ46" s="7">
        <v>0</v>
      </c>
      <c r="JA46" s="7">
        <v>1215</v>
      </c>
      <c r="JB46" s="7">
        <v>308</v>
      </c>
      <c r="JC46" s="7">
        <v>421</v>
      </c>
      <c r="JD46" s="7">
        <v>73</v>
      </c>
      <c r="JE46" s="7">
        <v>39</v>
      </c>
      <c r="JF46" s="151">
        <v>3804.6584970181434</v>
      </c>
      <c r="JG46" s="151">
        <v>109.13864777400704</v>
      </c>
      <c r="JH46" s="7">
        <v>1653</v>
      </c>
      <c r="JI46" s="7">
        <v>2191</v>
      </c>
      <c r="JJ46" s="7">
        <v>63</v>
      </c>
      <c r="JK46" s="7">
        <v>36</v>
      </c>
      <c r="JL46" s="7">
        <v>142</v>
      </c>
      <c r="JM46" s="7">
        <v>84</v>
      </c>
      <c r="JN46" s="7">
        <v>95</v>
      </c>
      <c r="JO46" s="7">
        <v>2235</v>
      </c>
      <c r="JP46" s="7">
        <v>1197</v>
      </c>
      <c r="JQ46" s="7">
        <v>29</v>
      </c>
      <c r="JR46" s="7">
        <v>112</v>
      </c>
      <c r="JS46" s="7">
        <v>277</v>
      </c>
      <c r="JT46" s="7">
        <v>12</v>
      </c>
      <c r="JU46" s="151">
        <v>306.8482185292965</v>
      </c>
      <c r="JV46" s="151">
        <v>279.42458547233042</v>
      </c>
      <c r="JW46" s="151">
        <v>3201.3385697648887</v>
      </c>
      <c r="JX46" s="151">
        <v>17.047123251627585</v>
      </c>
      <c r="JY46" s="7">
        <v>3682</v>
      </c>
      <c r="JZ46" s="7">
        <v>21177</v>
      </c>
      <c r="KA46" s="7">
        <v>8</v>
      </c>
      <c r="KB46" s="7">
        <v>0</v>
      </c>
      <c r="KC46" s="7">
        <v>7</v>
      </c>
      <c r="KD46" s="7">
        <v>7</v>
      </c>
      <c r="KE46" s="7">
        <v>0</v>
      </c>
      <c r="KF46" s="7">
        <v>0</v>
      </c>
      <c r="KG46" s="7">
        <v>308</v>
      </c>
      <c r="KH46" s="7">
        <v>8858</v>
      </c>
      <c r="KI46" s="7">
        <v>11882</v>
      </c>
      <c r="KJ46" s="7">
        <v>344</v>
      </c>
      <c r="KK46" s="7">
        <v>194</v>
      </c>
      <c r="KL46" s="7">
        <v>1656</v>
      </c>
      <c r="KM46" s="7">
        <v>1508</v>
      </c>
      <c r="KN46" s="7">
        <v>17277</v>
      </c>
      <c r="KO46" s="7">
        <v>92</v>
      </c>
      <c r="KP46" s="7">
        <v>20533</v>
      </c>
      <c r="KQ46" s="7">
        <v>589</v>
      </c>
      <c r="KR46" s="7">
        <v>3597</v>
      </c>
      <c r="KS46" s="7">
        <v>3597</v>
      </c>
      <c r="KT46" s="7">
        <v>722</v>
      </c>
      <c r="KU46" s="7">
        <v>228</v>
      </c>
      <c r="KV46" s="7">
        <v>635</v>
      </c>
      <c r="KW46" s="7">
        <v>1</v>
      </c>
      <c r="KX46" s="7">
        <v>710</v>
      </c>
      <c r="KY46" s="7">
        <v>218</v>
      </c>
      <c r="KZ46" s="7">
        <v>499</v>
      </c>
      <c r="LA46" s="7">
        <v>0</v>
      </c>
      <c r="LB46" s="7">
        <v>1958</v>
      </c>
      <c r="LC46" s="7">
        <v>1910</v>
      </c>
      <c r="LD46" s="7">
        <v>1191</v>
      </c>
      <c r="LE46" s="7">
        <v>2221</v>
      </c>
      <c r="LF46" s="7">
        <v>12574</v>
      </c>
      <c r="LG46" s="7">
        <v>35</v>
      </c>
      <c r="LH46" s="7">
        <v>3254</v>
      </c>
      <c r="LI46" s="7">
        <v>335</v>
      </c>
      <c r="LJ46" s="7">
        <v>1016</v>
      </c>
      <c r="LK46" s="7">
        <v>2</v>
      </c>
      <c r="LL46" s="7">
        <v>462</v>
      </c>
      <c r="LM46" s="7">
        <v>73</v>
      </c>
      <c r="LN46" s="7">
        <v>21</v>
      </c>
      <c r="LO46" s="7">
        <v>3302</v>
      </c>
      <c r="LP46" s="7">
        <v>272</v>
      </c>
      <c r="LQ46" s="7">
        <v>719</v>
      </c>
      <c r="LR46" s="7">
        <v>1</v>
      </c>
      <c r="LS46" s="7">
        <v>289</v>
      </c>
      <c r="LT46" s="7">
        <v>46</v>
      </c>
      <c r="LU46" s="232">
        <v>5.0154853129000001</v>
      </c>
      <c r="LV46" s="232">
        <v>5.5984174084999996</v>
      </c>
      <c r="LW46" s="232">
        <v>4.4682760755000004</v>
      </c>
      <c r="LX46" s="7">
        <v>3943</v>
      </c>
      <c r="LY46" s="7">
        <v>21278</v>
      </c>
    </row>
    <row r="47" spans="1:337" x14ac:dyDescent="0.25">
      <c r="A47" t="s">
        <v>116</v>
      </c>
      <c r="B47" t="s">
        <v>117</v>
      </c>
      <c r="C47" s="7">
        <v>48476</v>
      </c>
      <c r="D47">
        <v>51359</v>
      </c>
      <c r="F47">
        <f t="shared" si="2"/>
        <v>-51359</v>
      </c>
      <c r="G47">
        <f t="shared" si="3"/>
        <v>-100</v>
      </c>
      <c r="H47">
        <v>24914</v>
      </c>
      <c r="I47">
        <v>26445</v>
      </c>
      <c r="J47">
        <v>32033</v>
      </c>
      <c r="K47">
        <v>19326</v>
      </c>
      <c r="L47" s="7">
        <v>2776</v>
      </c>
      <c r="M47" s="7">
        <v>2795</v>
      </c>
      <c r="N47" s="7">
        <v>2696</v>
      </c>
      <c r="O47" s="7">
        <v>2818</v>
      </c>
      <c r="P47" s="7">
        <v>2071</v>
      </c>
      <c r="Q47" s="7">
        <v>1741</v>
      </c>
      <c r="R47" s="7">
        <v>1576</v>
      </c>
      <c r="S47" s="7">
        <v>1560</v>
      </c>
      <c r="T47" s="7">
        <v>1400</v>
      </c>
      <c r="U47" s="7">
        <v>1202</v>
      </c>
      <c r="V47" s="7">
        <v>1104</v>
      </c>
      <c r="W47" s="7">
        <v>902</v>
      </c>
      <c r="X47" s="7">
        <v>686</v>
      </c>
      <c r="Y47" s="7">
        <v>1556</v>
      </c>
      <c r="Z47" s="7">
        <v>31</v>
      </c>
      <c r="AA47" s="7">
        <v>2686</v>
      </c>
      <c r="AB47" s="7">
        <v>2676</v>
      </c>
      <c r="AC47" s="7">
        <v>2577</v>
      </c>
      <c r="AD47" s="7">
        <v>2802</v>
      </c>
      <c r="AE47" s="7">
        <v>2404</v>
      </c>
      <c r="AF47" s="7">
        <v>2130</v>
      </c>
      <c r="AG47" s="7">
        <v>1959</v>
      </c>
      <c r="AH47" s="7">
        <v>1879</v>
      </c>
      <c r="AI47" s="7">
        <v>1486</v>
      </c>
      <c r="AJ47" s="7">
        <v>1339</v>
      </c>
      <c r="AK47" s="7">
        <v>1135</v>
      </c>
      <c r="AL47" s="7">
        <v>919</v>
      </c>
      <c r="AM47" s="7">
        <v>730</v>
      </c>
      <c r="AN47" s="7">
        <v>1694</v>
      </c>
      <c r="AO47" s="7">
        <v>29</v>
      </c>
      <c r="AP47">
        <v>48965</v>
      </c>
      <c r="AQ47">
        <v>1698</v>
      </c>
      <c r="AR47">
        <v>68</v>
      </c>
      <c r="AS47">
        <v>506</v>
      </c>
      <c r="AT47">
        <v>122</v>
      </c>
      <c r="AU47" s="7">
        <v>199</v>
      </c>
      <c r="AV47" s="7">
        <v>119</v>
      </c>
      <c r="AW47" s="7">
        <v>80</v>
      </c>
      <c r="AX47" s="7">
        <v>299</v>
      </c>
      <c r="AY47" s="7">
        <v>199</v>
      </c>
      <c r="AZ47" s="7">
        <v>43</v>
      </c>
      <c r="BA47" s="7">
        <v>156</v>
      </c>
      <c r="BB47" s="7">
        <v>0</v>
      </c>
      <c r="BC47" s="7">
        <v>1</v>
      </c>
      <c r="BD47" s="7">
        <v>4</v>
      </c>
      <c r="BE47" s="7">
        <v>2</v>
      </c>
      <c r="BF47" s="7">
        <v>2</v>
      </c>
      <c r="BG47" s="7">
        <v>4</v>
      </c>
      <c r="BH47" s="7">
        <v>5</v>
      </c>
      <c r="BI47" s="7">
        <v>1</v>
      </c>
      <c r="BJ47" s="7">
        <v>4</v>
      </c>
      <c r="BK47" s="7">
        <v>8</v>
      </c>
      <c r="BL47" s="7">
        <v>9</v>
      </c>
      <c r="BM47" s="7">
        <v>6</v>
      </c>
      <c r="BN47" s="7">
        <v>6</v>
      </c>
      <c r="BO47" s="7">
        <v>2</v>
      </c>
      <c r="BP47" s="7">
        <v>9</v>
      </c>
      <c r="BQ47" s="7">
        <v>5</v>
      </c>
      <c r="BR47" s="7">
        <v>13</v>
      </c>
      <c r="BS47" s="7">
        <v>6</v>
      </c>
      <c r="BT47" s="7">
        <v>12</v>
      </c>
      <c r="BU47" s="7">
        <v>9</v>
      </c>
      <c r="BV47" s="7">
        <v>11</v>
      </c>
      <c r="BW47" s="7">
        <v>10</v>
      </c>
      <c r="BX47" s="7">
        <v>10</v>
      </c>
      <c r="BY47" s="7">
        <v>4</v>
      </c>
      <c r="BZ47" s="7">
        <v>8</v>
      </c>
      <c r="CA47" s="7">
        <v>9</v>
      </c>
      <c r="CB47" s="7">
        <v>26</v>
      </c>
      <c r="CC47" s="7">
        <v>13</v>
      </c>
      <c r="CD47" s="7">
        <v>99</v>
      </c>
      <c r="CE47" s="7">
        <v>64</v>
      </c>
      <c r="CF47" s="7">
        <v>0</v>
      </c>
      <c r="CG47" s="7">
        <v>0</v>
      </c>
      <c r="CH47" s="7">
        <v>9317</v>
      </c>
      <c r="CI47" s="7">
        <v>3559</v>
      </c>
      <c r="CJ47" s="7">
        <v>38627</v>
      </c>
      <c r="CK47" s="7">
        <v>12671</v>
      </c>
      <c r="CL47" s="7">
        <v>1219</v>
      </c>
      <c r="CM47" s="7">
        <v>1865</v>
      </c>
      <c r="CN47" s="7">
        <v>2400</v>
      </c>
      <c r="CO47" s="7">
        <v>2889</v>
      </c>
      <c r="CP47" s="7">
        <v>2117</v>
      </c>
      <c r="CQ47" s="7">
        <v>2386</v>
      </c>
      <c r="CR47" s="7">
        <v>8504</v>
      </c>
      <c r="CS47" s="7">
        <v>21576</v>
      </c>
      <c r="CT47" s="7">
        <v>4297</v>
      </c>
      <c r="CU47" s="7">
        <v>1118</v>
      </c>
      <c r="CV47" s="7">
        <v>586</v>
      </c>
      <c r="CW47" s="7">
        <v>1846</v>
      </c>
      <c r="CX47" s="7">
        <v>372</v>
      </c>
      <c r="CY47" s="7">
        <v>29214</v>
      </c>
      <c r="CZ47" s="7">
        <v>18865</v>
      </c>
      <c r="DA47" s="7">
        <v>1288</v>
      </c>
      <c r="DB47" s="7">
        <v>1219</v>
      </c>
      <c r="DC47" s="7">
        <v>92</v>
      </c>
      <c r="DD47" s="7">
        <v>4385</v>
      </c>
      <c r="DE47" s="7">
        <v>3934</v>
      </c>
      <c r="DF47" s="7">
        <v>11007</v>
      </c>
      <c r="DG47" s="7">
        <v>0</v>
      </c>
      <c r="DH47" s="7">
        <v>0</v>
      </c>
      <c r="DI47" s="7">
        <v>32033</v>
      </c>
      <c r="DJ47" s="7">
        <v>0</v>
      </c>
      <c r="DK47" s="7">
        <v>0</v>
      </c>
      <c r="DL47" s="7">
        <v>153</v>
      </c>
      <c r="DM47" s="7">
        <v>13</v>
      </c>
      <c r="DN47" s="7">
        <v>11</v>
      </c>
      <c r="DO47" s="7">
        <v>0</v>
      </c>
      <c r="DP47" s="7">
        <v>0</v>
      </c>
      <c r="DQ47" s="7">
        <v>1</v>
      </c>
      <c r="DR47" s="7">
        <v>0</v>
      </c>
      <c r="DS47" s="7">
        <v>0</v>
      </c>
      <c r="DT47" s="7">
        <v>287</v>
      </c>
      <c r="DU47" s="7">
        <v>357</v>
      </c>
      <c r="DV47" s="7">
        <v>221</v>
      </c>
      <c r="DW47" s="7">
        <v>185</v>
      </c>
      <c r="DX47" s="7">
        <v>85</v>
      </c>
      <c r="DY47" s="7">
        <v>65</v>
      </c>
      <c r="DZ47" s="7">
        <v>102</v>
      </c>
      <c r="EA47" s="7">
        <v>69</v>
      </c>
      <c r="EB47" s="7">
        <v>29</v>
      </c>
      <c r="EC47" s="7">
        <v>26</v>
      </c>
      <c r="ED47" s="7">
        <v>17</v>
      </c>
      <c r="EE47" s="7">
        <v>14</v>
      </c>
      <c r="EF47" s="7">
        <v>82</v>
      </c>
      <c r="EG47" s="7">
        <v>93</v>
      </c>
      <c r="EH47" s="7">
        <v>391</v>
      </c>
      <c r="EI47" s="7">
        <v>247</v>
      </c>
      <c r="EJ47" s="7">
        <v>83</v>
      </c>
      <c r="EK47" s="7">
        <v>91</v>
      </c>
      <c r="EL47" s="7">
        <v>30</v>
      </c>
      <c r="EM47" s="7">
        <v>17</v>
      </c>
      <c r="EN47" s="7">
        <v>82</v>
      </c>
      <c r="EO47" s="7">
        <v>13669</v>
      </c>
      <c r="EP47" s="7">
        <v>13042</v>
      </c>
      <c r="EQ47" s="7">
        <v>627</v>
      </c>
      <c r="ER47" s="7">
        <v>4421</v>
      </c>
      <c r="ES47" s="7">
        <v>5594</v>
      </c>
      <c r="ET47" s="7">
        <v>5481</v>
      </c>
      <c r="EU47" s="7">
        <v>113</v>
      </c>
      <c r="EV47" s="7">
        <v>14382</v>
      </c>
      <c r="EW47" s="134">
        <v>17.872386998</v>
      </c>
      <c r="EX47" s="134">
        <v>12.301630732</v>
      </c>
      <c r="EY47" s="134">
        <v>23.317281383000001</v>
      </c>
      <c r="EZ47" s="134">
        <v>40.751887928000002</v>
      </c>
      <c r="FA47" s="134">
        <v>5.7568129583000003</v>
      </c>
      <c r="FB47" s="7">
        <v>1830</v>
      </c>
      <c r="FC47" s="7">
        <v>6784</v>
      </c>
      <c r="FD47" s="7">
        <v>682</v>
      </c>
      <c r="FE47" s="7">
        <v>4055</v>
      </c>
      <c r="FF47" s="7">
        <v>10</v>
      </c>
      <c r="FG47" s="7">
        <v>3274</v>
      </c>
      <c r="FH47" s="7">
        <v>2600</v>
      </c>
      <c r="FI47" s="134">
        <v>27.596585311999998</v>
      </c>
      <c r="FJ47" s="134">
        <v>40.412608077000002</v>
      </c>
      <c r="FK47" s="134">
        <v>28.422895917999998</v>
      </c>
      <c r="FL47" s="134">
        <v>3.5679106927999999</v>
      </c>
      <c r="FM47" s="151">
        <v>12799</v>
      </c>
      <c r="FN47" s="151">
        <v>12034</v>
      </c>
      <c r="FO47" s="7">
        <v>4841</v>
      </c>
      <c r="FP47" s="7">
        <v>947</v>
      </c>
      <c r="FQ47" s="7">
        <v>198</v>
      </c>
      <c r="FR47" s="7">
        <v>22</v>
      </c>
      <c r="FS47" s="7">
        <v>6625</v>
      </c>
      <c r="FT47" s="7">
        <v>30</v>
      </c>
      <c r="FU47" s="7">
        <v>201</v>
      </c>
      <c r="FV47" s="7">
        <v>81</v>
      </c>
      <c r="FW47" s="7">
        <v>14780</v>
      </c>
      <c r="FX47" s="7">
        <v>11594</v>
      </c>
      <c r="FY47" s="7">
        <v>5033</v>
      </c>
      <c r="FZ47" s="7">
        <v>1128</v>
      </c>
      <c r="GA47" s="7">
        <v>271</v>
      </c>
      <c r="GB47" s="7">
        <v>40</v>
      </c>
      <c r="GC47" s="7">
        <v>8095</v>
      </c>
      <c r="GD47" s="7">
        <v>39</v>
      </c>
      <c r="GE47" s="7">
        <v>245</v>
      </c>
      <c r="GF47" s="7">
        <v>71</v>
      </c>
      <c r="GG47" s="7">
        <v>1420</v>
      </c>
      <c r="GH47" s="7">
        <v>1523</v>
      </c>
      <c r="GI47" s="7">
        <v>1495</v>
      </c>
      <c r="GJ47" s="7">
        <v>1468</v>
      </c>
      <c r="GK47" s="7">
        <v>794</v>
      </c>
      <c r="GL47" s="7">
        <v>761</v>
      </c>
      <c r="GM47" s="7">
        <v>709</v>
      </c>
      <c r="GN47" s="7">
        <v>770</v>
      </c>
      <c r="GO47" s="7">
        <v>726</v>
      </c>
      <c r="GP47" s="7">
        <v>634</v>
      </c>
      <c r="GQ47" s="7">
        <v>622</v>
      </c>
      <c r="GR47" s="7">
        <v>500</v>
      </c>
      <c r="GS47" s="7">
        <v>410</v>
      </c>
      <c r="GT47" s="7">
        <v>295</v>
      </c>
      <c r="GU47" s="7">
        <v>273</v>
      </c>
      <c r="GV47" s="7">
        <v>187</v>
      </c>
      <c r="GW47" s="7">
        <v>120</v>
      </c>
      <c r="GX47" s="7">
        <v>91</v>
      </c>
      <c r="GY47" s="7">
        <v>1352</v>
      </c>
      <c r="GZ47" s="7">
        <v>1368</v>
      </c>
      <c r="HA47" s="7">
        <v>1440</v>
      </c>
      <c r="HB47" s="7">
        <v>1577</v>
      </c>
      <c r="HC47" s="7">
        <v>1127</v>
      </c>
      <c r="HD47" s="7">
        <v>1088</v>
      </c>
      <c r="HE47" s="7">
        <v>1053</v>
      </c>
      <c r="HF47" s="7">
        <v>1113</v>
      </c>
      <c r="HG47" s="7">
        <v>924</v>
      </c>
      <c r="HH47" s="7">
        <v>843</v>
      </c>
      <c r="HI47" s="7">
        <v>712</v>
      </c>
      <c r="HJ47" s="7">
        <v>592</v>
      </c>
      <c r="HK47" s="7">
        <v>462</v>
      </c>
      <c r="HL47" s="7">
        <v>381</v>
      </c>
      <c r="HM47" s="7">
        <v>293</v>
      </c>
      <c r="HN47" s="7">
        <v>212</v>
      </c>
      <c r="HO47" s="7">
        <v>141</v>
      </c>
      <c r="HP47" s="7">
        <v>101</v>
      </c>
      <c r="HQ47" s="7">
        <v>12618</v>
      </c>
      <c r="HR47" s="7">
        <v>12</v>
      </c>
      <c r="HS47" s="7">
        <v>196</v>
      </c>
      <c r="HT47" s="7">
        <v>1</v>
      </c>
      <c r="HU47" s="7">
        <v>0</v>
      </c>
      <c r="HV47" s="7">
        <v>0</v>
      </c>
      <c r="HW47" s="7">
        <v>0</v>
      </c>
      <c r="HX47" s="7">
        <v>67</v>
      </c>
      <c r="HY47" s="7">
        <v>1219</v>
      </c>
      <c r="HZ47" s="7">
        <v>1865</v>
      </c>
      <c r="IA47" s="7">
        <v>2400</v>
      </c>
      <c r="IB47" s="7">
        <v>2889</v>
      </c>
      <c r="IC47" s="7">
        <v>2117</v>
      </c>
      <c r="ID47" s="7">
        <v>1212</v>
      </c>
      <c r="IE47" s="7">
        <v>486</v>
      </c>
      <c r="IF47" s="7">
        <v>325</v>
      </c>
      <c r="IG47" s="7">
        <v>363</v>
      </c>
      <c r="IH47" s="7">
        <v>2484</v>
      </c>
      <c r="II47" s="7">
        <v>3432</v>
      </c>
      <c r="IJ47" s="7">
        <v>3408</v>
      </c>
      <c r="IK47" s="7">
        <v>1882</v>
      </c>
      <c r="IL47" s="7">
        <v>1058</v>
      </c>
      <c r="IM47" s="7">
        <v>357</v>
      </c>
      <c r="IN47" s="7">
        <v>116</v>
      </c>
      <c r="IO47" s="7">
        <v>41</v>
      </c>
      <c r="IP47" s="7">
        <v>59</v>
      </c>
      <c r="IQ47" s="7">
        <v>6989</v>
      </c>
      <c r="IR47" s="7">
        <v>4232</v>
      </c>
      <c r="IS47" s="7">
        <v>1350</v>
      </c>
      <c r="IT47" s="7">
        <v>223</v>
      </c>
      <c r="IU47" s="7">
        <v>55</v>
      </c>
      <c r="IV47" s="7">
        <v>5924</v>
      </c>
      <c r="IW47" s="7">
        <v>1991</v>
      </c>
      <c r="IX47" s="7">
        <v>183</v>
      </c>
      <c r="IY47" s="7">
        <v>246</v>
      </c>
      <c r="IZ47" s="7">
        <v>30</v>
      </c>
      <c r="JA47" s="7">
        <v>4450</v>
      </c>
      <c r="JB47" s="7">
        <v>8341</v>
      </c>
      <c r="JC47" s="7">
        <v>3490</v>
      </c>
      <c r="JD47" s="7">
        <v>65</v>
      </c>
      <c r="JE47" s="7">
        <v>51</v>
      </c>
      <c r="JF47" s="151">
        <v>12225.398537801571</v>
      </c>
      <c r="JG47" s="151">
        <v>624.99984312252934</v>
      </c>
      <c r="JH47" s="7">
        <v>1747</v>
      </c>
      <c r="JI47" s="7">
        <v>9939</v>
      </c>
      <c r="JJ47" s="7">
        <v>1149</v>
      </c>
      <c r="JK47" s="7">
        <v>41</v>
      </c>
      <c r="JL47" s="7">
        <v>9230</v>
      </c>
      <c r="JM47" s="7">
        <v>5158</v>
      </c>
      <c r="JN47" s="7">
        <v>2289</v>
      </c>
      <c r="JO47" s="7">
        <v>9450</v>
      </c>
      <c r="JP47" s="7">
        <v>11111</v>
      </c>
      <c r="JQ47" s="7">
        <v>1338</v>
      </c>
      <c r="JR47" s="7">
        <v>1680</v>
      </c>
      <c r="JS47" s="7">
        <v>6714</v>
      </c>
      <c r="JT47" s="7">
        <v>714</v>
      </c>
      <c r="JU47" s="151">
        <v>2157.378976561502</v>
      </c>
      <c r="JV47" s="151">
        <v>9824.5457267706497</v>
      </c>
      <c r="JW47" s="151">
        <v>214.60837986737454</v>
      </c>
      <c r="JX47" s="151">
        <v>28.865454602044526</v>
      </c>
      <c r="JY47" s="7">
        <v>12573</v>
      </c>
      <c r="JZ47" s="7">
        <v>50412</v>
      </c>
      <c r="KA47" s="7">
        <v>39</v>
      </c>
      <c r="KB47" s="7">
        <v>625</v>
      </c>
      <c r="KC47" s="7">
        <v>11</v>
      </c>
      <c r="KD47" s="7">
        <v>0</v>
      </c>
      <c r="KE47" s="7">
        <v>0</v>
      </c>
      <c r="KF47" s="7">
        <v>0</v>
      </c>
      <c r="KG47" s="7">
        <v>265</v>
      </c>
      <c r="KH47" s="7">
        <v>7423</v>
      </c>
      <c r="KI47" s="7">
        <v>39330</v>
      </c>
      <c r="KJ47" s="7">
        <v>4402</v>
      </c>
      <c r="KK47" s="7">
        <v>143</v>
      </c>
      <c r="KL47" s="7">
        <v>8595</v>
      </c>
      <c r="KM47" s="7">
        <v>39141</v>
      </c>
      <c r="KN47" s="7">
        <v>855</v>
      </c>
      <c r="KO47" s="7">
        <v>115</v>
      </c>
      <c r="KP47" s="7">
        <v>48706</v>
      </c>
      <c r="KQ47" s="7">
        <v>2490</v>
      </c>
      <c r="KR47" s="7">
        <v>7535</v>
      </c>
      <c r="KS47" s="7">
        <v>7535</v>
      </c>
      <c r="KT47" s="7">
        <v>1349</v>
      </c>
      <c r="KU47" s="7">
        <v>447</v>
      </c>
      <c r="KV47" s="7">
        <v>1509</v>
      </c>
      <c r="KW47" s="7">
        <v>1</v>
      </c>
      <c r="KX47" s="7">
        <v>1273</v>
      </c>
      <c r="KY47" s="7">
        <v>532</v>
      </c>
      <c r="KZ47" s="7">
        <v>1394</v>
      </c>
      <c r="LA47" s="7">
        <v>0</v>
      </c>
      <c r="LB47" s="7">
        <v>4060</v>
      </c>
      <c r="LC47" s="7">
        <v>3907</v>
      </c>
      <c r="LD47" s="7">
        <v>1486</v>
      </c>
      <c r="LE47" s="7">
        <v>2583</v>
      </c>
      <c r="LF47" s="7">
        <v>35093</v>
      </c>
      <c r="LG47" s="7">
        <v>35</v>
      </c>
      <c r="LH47" s="7">
        <v>5615</v>
      </c>
      <c r="LI47" s="7">
        <v>996</v>
      </c>
      <c r="LJ47" s="7">
        <v>3402</v>
      </c>
      <c r="LK47" s="7">
        <v>7</v>
      </c>
      <c r="LL47" s="7">
        <v>3009</v>
      </c>
      <c r="LM47" s="7">
        <v>1912</v>
      </c>
      <c r="LN47" s="7">
        <v>32</v>
      </c>
      <c r="LO47" s="7">
        <v>6511</v>
      </c>
      <c r="LP47" s="7">
        <v>955</v>
      </c>
      <c r="LQ47" s="7">
        <v>3687</v>
      </c>
      <c r="LR47" s="7">
        <v>16</v>
      </c>
      <c r="LS47" s="7">
        <v>3055</v>
      </c>
      <c r="LT47" s="7">
        <v>1631</v>
      </c>
      <c r="LU47" s="232">
        <v>7.3378382239000004</v>
      </c>
      <c r="LV47" s="232">
        <v>7.6740284817999997</v>
      </c>
      <c r="LW47" s="232">
        <v>7.0354913984999996</v>
      </c>
      <c r="LX47" s="7">
        <v>12876</v>
      </c>
      <c r="LY47" s="7">
        <v>51298</v>
      </c>
    </row>
    <row r="48" spans="1:337" x14ac:dyDescent="0.25">
      <c r="A48" t="s">
        <v>120</v>
      </c>
      <c r="B48" t="s">
        <v>121</v>
      </c>
      <c r="C48" s="7">
        <v>8877</v>
      </c>
      <c r="D48">
        <v>10239</v>
      </c>
      <c r="F48">
        <f t="shared" si="2"/>
        <v>-10239</v>
      </c>
      <c r="G48">
        <f t="shared" si="3"/>
        <v>-100</v>
      </c>
      <c r="H48">
        <v>5070</v>
      </c>
      <c r="I48">
        <v>5169</v>
      </c>
      <c r="J48">
        <v>3621</v>
      </c>
      <c r="K48">
        <v>6618</v>
      </c>
      <c r="L48" s="7">
        <v>654</v>
      </c>
      <c r="M48" s="7">
        <v>649</v>
      </c>
      <c r="N48" s="7">
        <v>665</v>
      </c>
      <c r="O48" s="7">
        <v>554</v>
      </c>
      <c r="P48" s="7">
        <v>485</v>
      </c>
      <c r="Q48" s="7">
        <v>384</v>
      </c>
      <c r="R48" s="7">
        <v>328</v>
      </c>
      <c r="S48" s="7">
        <v>276</v>
      </c>
      <c r="T48" s="7">
        <v>209</v>
      </c>
      <c r="U48" s="7">
        <v>210</v>
      </c>
      <c r="V48" s="7">
        <v>176</v>
      </c>
      <c r="W48" s="7">
        <v>145</v>
      </c>
      <c r="X48" s="7">
        <v>106</v>
      </c>
      <c r="Y48" s="7">
        <v>229</v>
      </c>
      <c r="Z48" s="7">
        <v>0</v>
      </c>
      <c r="AA48" s="7">
        <v>658</v>
      </c>
      <c r="AB48" s="7">
        <v>621</v>
      </c>
      <c r="AC48" s="7">
        <v>694</v>
      </c>
      <c r="AD48" s="7">
        <v>584</v>
      </c>
      <c r="AE48" s="7">
        <v>499</v>
      </c>
      <c r="AF48" s="7">
        <v>396</v>
      </c>
      <c r="AG48" s="7">
        <v>343</v>
      </c>
      <c r="AH48" s="7">
        <v>314</v>
      </c>
      <c r="AI48" s="7">
        <v>234</v>
      </c>
      <c r="AJ48" s="7">
        <v>209</v>
      </c>
      <c r="AK48" s="7">
        <v>152</v>
      </c>
      <c r="AL48" s="7">
        <v>131</v>
      </c>
      <c r="AM48" s="7">
        <v>101</v>
      </c>
      <c r="AN48" s="7">
        <v>232</v>
      </c>
      <c r="AO48" s="7">
        <v>1</v>
      </c>
      <c r="AP48">
        <v>10141</v>
      </c>
      <c r="AQ48">
        <v>79</v>
      </c>
      <c r="AR48">
        <v>4</v>
      </c>
      <c r="AS48" t="s">
        <v>358</v>
      </c>
      <c r="AT48">
        <v>15</v>
      </c>
      <c r="AU48" s="7">
        <v>3788</v>
      </c>
      <c r="AV48" s="7">
        <v>1885</v>
      </c>
      <c r="AW48" s="7">
        <v>1903</v>
      </c>
      <c r="AX48" s="7">
        <v>3137</v>
      </c>
      <c r="AY48" s="7">
        <v>3788</v>
      </c>
      <c r="AZ48" s="7">
        <v>3650</v>
      </c>
      <c r="BA48" s="7">
        <v>138</v>
      </c>
      <c r="BB48" s="7">
        <v>79</v>
      </c>
      <c r="BC48" s="7">
        <v>99</v>
      </c>
      <c r="BD48" s="7">
        <v>254</v>
      </c>
      <c r="BE48" s="7">
        <v>207</v>
      </c>
      <c r="BF48" s="7">
        <v>261</v>
      </c>
      <c r="BG48" s="7">
        <v>298</v>
      </c>
      <c r="BH48" s="7">
        <v>214</v>
      </c>
      <c r="BI48" s="7">
        <v>215</v>
      </c>
      <c r="BJ48" s="7">
        <v>194</v>
      </c>
      <c r="BK48" s="7">
        <v>201</v>
      </c>
      <c r="BL48" s="7">
        <v>157</v>
      </c>
      <c r="BM48" s="7">
        <v>152</v>
      </c>
      <c r="BN48" s="7">
        <v>146</v>
      </c>
      <c r="BO48" s="7">
        <v>146</v>
      </c>
      <c r="BP48" s="7">
        <v>113</v>
      </c>
      <c r="BQ48" s="7">
        <v>127</v>
      </c>
      <c r="BR48" s="7">
        <v>94</v>
      </c>
      <c r="BS48" s="7">
        <v>108</v>
      </c>
      <c r="BT48" s="7">
        <v>98</v>
      </c>
      <c r="BU48" s="7">
        <v>95</v>
      </c>
      <c r="BV48" s="7">
        <v>62</v>
      </c>
      <c r="BW48" s="7">
        <v>53</v>
      </c>
      <c r="BX48" s="7">
        <v>60</v>
      </c>
      <c r="BY48" s="7">
        <v>69</v>
      </c>
      <c r="BZ48" s="7">
        <v>51</v>
      </c>
      <c r="CA48" s="7">
        <v>44</v>
      </c>
      <c r="CB48" s="7">
        <v>102</v>
      </c>
      <c r="CC48" s="7">
        <v>89</v>
      </c>
      <c r="CD48" s="7">
        <v>1543</v>
      </c>
      <c r="CE48" s="7">
        <v>1314</v>
      </c>
      <c r="CF48" s="7">
        <v>331</v>
      </c>
      <c r="CG48" s="7">
        <v>565</v>
      </c>
      <c r="CH48" s="7">
        <v>1819</v>
      </c>
      <c r="CI48" s="7">
        <v>288</v>
      </c>
      <c r="CJ48" s="7">
        <v>9134</v>
      </c>
      <c r="CK48" s="7">
        <v>1105</v>
      </c>
      <c r="CL48" s="7">
        <v>105</v>
      </c>
      <c r="CM48" s="7">
        <v>222</v>
      </c>
      <c r="CN48" s="7">
        <v>316</v>
      </c>
      <c r="CO48" s="7">
        <v>404</v>
      </c>
      <c r="CP48" s="7">
        <v>346</v>
      </c>
      <c r="CQ48" s="7">
        <v>714</v>
      </c>
      <c r="CR48" s="7">
        <v>1704</v>
      </c>
      <c r="CS48" s="7">
        <v>5094</v>
      </c>
      <c r="CT48" s="7">
        <v>686</v>
      </c>
      <c r="CU48" s="7">
        <v>322</v>
      </c>
      <c r="CV48" s="7">
        <v>88</v>
      </c>
      <c r="CW48" s="7">
        <v>211</v>
      </c>
      <c r="CX48" s="7">
        <v>11</v>
      </c>
      <c r="CY48" s="7">
        <v>6325</v>
      </c>
      <c r="CZ48" s="7">
        <v>3659</v>
      </c>
      <c r="DA48" s="7">
        <v>51</v>
      </c>
      <c r="DB48" s="7">
        <v>105</v>
      </c>
      <c r="DC48" s="7">
        <v>0</v>
      </c>
      <c r="DD48" s="7">
        <v>2603</v>
      </c>
      <c r="DE48" s="7">
        <v>1147</v>
      </c>
      <c r="DF48" s="7">
        <v>2868</v>
      </c>
      <c r="DG48" s="7">
        <v>3621</v>
      </c>
      <c r="DH48" s="7">
        <v>0</v>
      </c>
      <c r="DI48" s="7">
        <v>0</v>
      </c>
      <c r="DJ48" s="7">
        <v>0</v>
      </c>
      <c r="DK48" s="7">
        <v>0</v>
      </c>
      <c r="DL48" s="7">
        <v>35</v>
      </c>
      <c r="DM48" s="7">
        <v>3</v>
      </c>
      <c r="DN48" s="7">
        <v>3</v>
      </c>
      <c r="DO48" s="7">
        <v>1</v>
      </c>
      <c r="DP48" s="7">
        <v>0</v>
      </c>
      <c r="DQ48" s="7">
        <v>0</v>
      </c>
      <c r="DR48" s="7">
        <v>0</v>
      </c>
      <c r="DS48" s="7">
        <v>0</v>
      </c>
      <c r="DT48" s="7">
        <v>65</v>
      </c>
      <c r="DU48" s="7">
        <v>69</v>
      </c>
      <c r="DV48" s="7">
        <v>33</v>
      </c>
      <c r="DW48" s="7">
        <v>16</v>
      </c>
      <c r="DX48" s="7">
        <v>11</v>
      </c>
      <c r="DY48" s="7">
        <v>13</v>
      </c>
      <c r="DZ48" s="7">
        <v>16</v>
      </c>
      <c r="EA48" s="7">
        <v>24</v>
      </c>
      <c r="EB48" s="7">
        <v>5</v>
      </c>
      <c r="EC48" s="7">
        <v>6</v>
      </c>
      <c r="ED48" s="7">
        <v>8</v>
      </c>
      <c r="EE48" s="7">
        <v>5</v>
      </c>
      <c r="EF48" s="7">
        <v>18</v>
      </c>
      <c r="EG48" s="7">
        <v>19</v>
      </c>
      <c r="EH48" s="7">
        <v>110</v>
      </c>
      <c r="EI48" s="7">
        <v>40</v>
      </c>
      <c r="EJ48" s="7">
        <v>18</v>
      </c>
      <c r="EK48" s="7">
        <v>27</v>
      </c>
      <c r="EL48" s="7">
        <v>7</v>
      </c>
      <c r="EM48" s="7">
        <v>11</v>
      </c>
      <c r="EN48" s="7">
        <v>25</v>
      </c>
      <c r="EO48" s="7">
        <v>2761</v>
      </c>
      <c r="EP48" s="7">
        <v>2729</v>
      </c>
      <c r="EQ48" s="7">
        <v>32</v>
      </c>
      <c r="ER48" s="7">
        <v>726</v>
      </c>
      <c r="ES48" s="7">
        <v>415</v>
      </c>
      <c r="ET48" s="7">
        <v>412</v>
      </c>
      <c r="EU48" s="7">
        <v>3</v>
      </c>
      <c r="EV48" s="7">
        <v>3159</v>
      </c>
      <c r="EW48" s="134">
        <v>69.240710824000004</v>
      </c>
      <c r="EX48" s="134">
        <v>11.890145395999999</v>
      </c>
      <c r="EY48" s="134">
        <v>6.2358642973</v>
      </c>
      <c r="EZ48" s="134">
        <v>11.147011309</v>
      </c>
      <c r="FA48" s="134">
        <v>1.4862681744999999</v>
      </c>
      <c r="FB48" s="7">
        <v>455</v>
      </c>
      <c r="FC48" s="7">
        <v>1635</v>
      </c>
      <c r="FD48" s="7">
        <v>128</v>
      </c>
      <c r="FE48" s="7">
        <v>546</v>
      </c>
      <c r="FF48" s="7">
        <v>0</v>
      </c>
      <c r="FG48" s="7">
        <v>265</v>
      </c>
      <c r="FH48" s="7">
        <v>142</v>
      </c>
      <c r="FI48" s="134">
        <v>67.560581583000001</v>
      </c>
      <c r="FJ48" s="134">
        <v>13.085621971</v>
      </c>
      <c r="FK48" s="134">
        <v>14.022617124</v>
      </c>
      <c r="FL48" s="134">
        <v>5.3311793214999996</v>
      </c>
      <c r="FM48" s="151">
        <v>3652</v>
      </c>
      <c r="FN48" s="151">
        <v>1291</v>
      </c>
      <c r="FO48" s="7">
        <v>394</v>
      </c>
      <c r="FP48" s="7">
        <v>51</v>
      </c>
      <c r="FQ48" s="7">
        <v>15</v>
      </c>
      <c r="FR48" s="7">
        <v>1</v>
      </c>
      <c r="FS48" s="7">
        <v>3253</v>
      </c>
      <c r="FT48" s="7">
        <v>25</v>
      </c>
      <c r="FU48" s="7">
        <v>33</v>
      </c>
      <c r="FV48" s="7">
        <v>127</v>
      </c>
      <c r="FW48" s="7">
        <v>4012</v>
      </c>
      <c r="FX48" s="7">
        <v>1054</v>
      </c>
      <c r="FY48" s="7">
        <v>408</v>
      </c>
      <c r="FZ48" s="7">
        <v>47</v>
      </c>
      <c r="GA48" s="7">
        <v>11</v>
      </c>
      <c r="GB48" s="7">
        <v>0</v>
      </c>
      <c r="GC48" s="7">
        <v>3630</v>
      </c>
      <c r="GD48" s="7">
        <v>26</v>
      </c>
      <c r="GE48" s="7">
        <v>26</v>
      </c>
      <c r="GF48" s="7">
        <v>103</v>
      </c>
      <c r="GG48" s="7">
        <v>442</v>
      </c>
      <c r="GH48" s="7">
        <v>503</v>
      </c>
      <c r="GI48" s="7">
        <v>519</v>
      </c>
      <c r="GJ48" s="7">
        <v>386</v>
      </c>
      <c r="GK48" s="7">
        <v>290</v>
      </c>
      <c r="GL48" s="7">
        <v>241</v>
      </c>
      <c r="GM48" s="7">
        <v>247</v>
      </c>
      <c r="GN48" s="7">
        <v>219</v>
      </c>
      <c r="GO48" s="7">
        <v>162</v>
      </c>
      <c r="GP48" s="7">
        <v>155</v>
      </c>
      <c r="GQ48" s="7">
        <v>125</v>
      </c>
      <c r="GR48" s="7">
        <v>113</v>
      </c>
      <c r="GS48" s="7">
        <v>80</v>
      </c>
      <c r="GT48" s="7">
        <v>67</v>
      </c>
      <c r="GU48" s="7">
        <v>39</v>
      </c>
      <c r="GV48" s="7">
        <v>25</v>
      </c>
      <c r="GW48" s="7">
        <v>23</v>
      </c>
      <c r="GX48" s="7">
        <v>16</v>
      </c>
      <c r="GY48" s="7">
        <v>458</v>
      </c>
      <c r="GZ48" s="7">
        <v>480</v>
      </c>
      <c r="HA48" s="7">
        <v>528</v>
      </c>
      <c r="HB48" s="7">
        <v>429</v>
      </c>
      <c r="HC48" s="7">
        <v>377</v>
      </c>
      <c r="HD48" s="7">
        <v>304</v>
      </c>
      <c r="HE48" s="7">
        <v>298</v>
      </c>
      <c r="HF48" s="7">
        <v>266</v>
      </c>
      <c r="HG48" s="7">
        <v>192</v>
      </c>
      <c r="HH48" s="7">
        <v>173</v>
      </c>
      <c r="HI48" s="7">
        <v>122</v>
      </c>
      <c r="HJ48" s="7">
        <v>109</v>
      </c>
      <c r="HK48" s="7">
        <v>86</v>
      </c>
      <c r="HL48" s="7">
        <v>61</v>
      </c>
      <c r="HM48" s="7">
        <v>64</v>
      </c>
      <c r="HN48" s="7">
        <v>29</v>
      </c>
      <c r="HO48" s="7">
        <v>18</v>
      </c>
      <c r="HP48" s="7">
        <v>17</v>
      </c>
      <c r="HQ48" s="7">
        <v>2078</v>
      </c>
      <c r="HR48" s="7">
        <v>2</v>
      </c>
      <c r="HS48" s="7">
        <v>0</v>
      </c>
      <c r="HT48" s="7">
        <v>0</v>
      </c>
      <c r="HU48" s="7">
        <v>0</v>
      </c>
      <c r="HV48" s="7">
        <v>1</v>
      </c>
      <c r="HW48" s="7">
        <v>0</v>
      </c>
      <c r="HX48" s="7">
        <v>26</v>
      </c>
      <c r="HY48" s="7">
        <v>105</v>
      </c>
      <c r="HZ48" s="7">
        <v>222</v>
      </c>
      <c r="IA48" s="7">
        <v>316</v>
      </c>
      <c r="IB48" s="7">
        <v>404</v>
      </c>
      <c r="IC48" s="7">
        <v>346</v>
      </c>
      <c r="ID48" s="7">
        <v>241</v>
      </c>
      <c r="IE48" s="7">
        <v>181</v>
      </c>
      <c r="IF48" s="7">
        <v>126</v>
      </c>
      <c r="IG48" s="7">
        <v>165</v>
      </c>
      <c r="IH48" s="7">
        <v>95</v>
      </c>
      <c r="II48" s="7">
        <v>535</v>
      </c>
      <c r="IJ48" s="7">
        <v>633</v>
      </c>
      <c r="IK48" s="7">
        <v>504</v>
      </c>
      <c r="IL48" s="7">
        <v>225</v>
      </c>
      <c r="IM48" s="7">
        <v>61</v>
      </c>
      <c r="IN48" s="7">
        <v>18</v>
      </c>
      <c r="IO48" s="7">
        <v>9</v>
      </c>
      <c r="IP48" s="7">
        <v>6</v>
      </c>
      <c r="IQ48" s="7">
        <v>1024</v>
      </c>
      <c r="IR48" s="7">
        <v>707</v>
      </c>
      <c r="IS48" s="7">
        <v>243</v>
      </c>
      <c r="IT48" s="7">
        <v>88</v>
      </c>
      <c r="IU48" s="7">
        <v>22</v>
      </c>
      <c r="IV48" s="7">
        <v>1154</v>
      </c>
      <c r="IW48" s="7">
        <v>852</v>
      </c>
      <c r="IX48" s="7">
        <v>9</v>
      </c>
      <c r="IY48" s="7">
        <v>32</v>
      </c>
      <c r="IZ48" s="7">
        <v>0</v>
      </c>
      <c r="JA48" s="7">
        <v>50</v>
      </c>
      <c r="JB48" s="7">
        <v>1243</v>
      </c>
      <c r="JC48" s="7">
        <v>156</v>
      </c>
      <c r="JD48" s="7">
        <v>325</v>
      </c>
      <c r="JE48" s="7">
        <v>297</v>
      </c>
      <c r="JF48" s="151">
        <v>2031.0664683478765</v>
      </c>
      <c r="JG48" s="151">
        <v>63.792361214573631</v>
      </c>
      <c r="JH48" s="7">
        <v>340</v>
      </c>
      <c r="JI48" s="7">
        <v>1709</v>
      </c>
      <c r="JJ48" s="7">
        <v>49</v>
      </c>
      <c r="JK48" s="7">
        <v>8</v>
      </c>
      <c r="JL48" s="7">
        <v>837</v>
      </c>
      <c r="JM48" s="7">
        <v>309</v>
      </c>
      <c r="JN48" s="7">
        <v>126</v>
      </c>
      <c r="JO48" s="7">
        <v>1029</v>
      </c>
      <c r="JP48" s="7">
        <v>1385</v>
      </c>
      <c r="JQ48" s="7">
        <v>89</v>
      </c>
      <c r="JR48" s="7">
        <v>84</v>
      </c>
      <c r="JS48" s="7">
        <v>384</v>
      </c>
      <c r="JT48" s="7">
        <v>19</v>
      </c>
      <c r="JU48" s="151">
        <v>229.0351549413563</v>
      </c>
      <c r="JV48" s="151">
        <v>1765.6079329711024</v>
      </c>
      <c r="JW48" s="151">
        <v>26.340071727307823</v>
      </c>
      <c r="JX48" s="151">
        <v>10.083308708110025</v>
      </c>
      <c r="JY48" s="7">
        <v>2050</v>
      </c>
      <c r="JZ48" s="7">
        <v>10118</v>
      </c>
      <c r="KA48" s="7">
        <v>5</v>
      </c>
      <c r="KB48" s="7">
        <v>0</v>
      </c>
      <c r="KC48" s="7">
        <v>0</v>
      </c>
      <c r="KD48" s="7">
        <v>0</v>
      </c>
      <c r="KE48" s="7">
        <v>8</v>
      </c>
      <c r="KF48" s="7">
        <v>0</v>
      </c>
      <c r="KG48" s="7">
        <v>108</v>
      </c>
      <c r="KH48" s="7">
        <v>1755</v>
      </c>
      <c r="KI48" s="7">
        <v>8230</v>
      </c>
      <c r="KJ48" s="7">
        <v>206</v>
      </c>
      <c r="KK48" s="7">
        <v>40</v>
      </c>
      <c r="KL48" s="7">
        <v>1113</v>
      </c>
      <c r="KM48" s="7">
        <v>8580</v>
      </c>
      <c r="KN48" s="7">
        <v>128</v>
      </c>
      <c r="KO48" s="7">
        <v>49</v>
      </c>
      <c r="KP48" s="7">
        <v>9870</v>
      </c>
      <c r="KQ48" s="7">
        <v>310</v>
      </c>
      <c r="KR48" s="7">
        <v>1572</v>
      </c>
      <c r="KS48" s="7">
        <v>1572</v>
      </c>
      <c r="KT48" s="7">
        <v>382</v>
      </c>
      <c r="KU48" s="7">
        <v>105</v>
      </c>
      <c r="KV48" s="7">
        <v>205</v>
      </c>
      <c r="KW48" s="7">
        <v>0</v>
      </c>
      <c r="KX48" s="7">
        <v>377</v>
      </c>
      <c r="KY48" s="7">
        <v>101</v>
      </c>
      <c r="KZ48" s="7">
        <v>231</v>
      </c>
      <c r="LA48" s="7">
        <v>0</v>
      </c>
      <c r="LB48" s="7">
        <v>879</v>
      </c>
      <c r="LC48" s="7">
        <v>933</v>
      </c>
      <c r="LD48" s="7">
        <v>486</v>
      </c>
      <c r="LE48" s="7">
        <v>909</v>
      </c>
      <c r="LF48" s="7">
        <v>6297</v>
      </c>
      <c r="LG48" s="7">
        <v>8</v>
      </c>
      <c r="LH48" s="7">
        <v>1471</v>
      </c>
      <c r="LI48" s="7">
        <v>169</v>
      </c>
      <c r="LJ48" s="7">
        <v>530</v>
      </c>
      <c r="LK48" s="7">
        <v>0</v>
      </c>
      <c r="LL48" s="7">
        <v>328</v>
      </c>
      <c r="LM48" s="7">
        <v>137</v>
      </c>
      <c r="LN48" s="7">
        <v>15</v>
      </c>
      <c r="LO48" s="7">
        <v>1246</v>
      </c>
      <c r="LP48" s="7">
        <v>137</v>
      </c>
      <c r="LQ48" s="7">
        <v>634</v>
      </c>
      <c r="LR48" s="7">
        <v>0</v>
      </c>
      <c r="LS48" s="7">
        <v>270</v>
      </c>
      <c r="LT48" s="7">
        <v>104</v>
      </c>
      <c r="LU48" s="232">
        <v>5.5579802484999998</v>
      </c>
      <c r="LV48" s="232">
        <v>5.8649434571999999</v>
      </c>
      <c r="LW48" s="232">
        <v>5.2595036128999997</v>
      </c>
      <c r="LX48" s="7">
        <v>2106</v>
      </c>
      <c r="LY48" s="7">
        <v>10231</v>
      </c>
    </row>
    <row r="49" spans="1:337" x14ac:dyDescent="0.25">
      <c r="A49" t="s">
        <v>122</v>
      </c>
      <c r="B49" t="s">
        <v>123</v>
      </c>
      <c r="C49" s="7">
        <v>9143</v>
      </c>
      <c r="D49">
        <v>10176</v>
      </c>
      <c r="F49">
        <f t="shared" si="2"/>
        <v>-10176</v>
      </c>
      <c r="G49">
        <f t="shared" si="3"/>
        <v>-100</v>
      </c>
      <c r="H49">
        <v>5077</v>
      </c>
      <c r="I49">
        <v>5099</v>
      </c>
      <c r="J49">
        <v>4835</v>
      </c>
      <c r="K49">
        <v>5341</v>
      </c>
      <c r="L49" s="7">
        <v>593</v>
      </c>
      <c r="M49" s="7">
        <v>585</v>
      </c>
      <c r="N49" s="7">
        <v>607</v>
      </c>
      <c r="O49" s="7">
        <v>597</v>
      </c>
      <c r="P49" s="7">
        <v>427</v>
      </c>
      <c r="Q49" s="7">
        <v>388</v>
      </c>
      <c r="R49" s="7">
        <v>333</v>
      </c>
      <c r="S49" s="7">
        <v>283</v>
      </c>
      <c r="T49" s="7">
        <v>253</v>
      </c>
      <c r="U49" s="7">
        <v>237</v>
      </c>
      <c r="V49" s="7">
        <v>186</v>
      </c>
      <c r="W49" s="7">
        <v>160</v>
      </c>
      <c r="X49" s="7">
        <v>134</v>
      </c>
      <c r="Y49" s="7">
        <v>294</v>
      </c>
      <c r="Z49" s="7">
        <v>0</v>
      </c>
      <c r="AA49" s="7">
        <v>532</v>
      </c>
      <c r="AB49" s="7">
        <v>561</v>
      </c>
      <c r="AC49" s="7">
        <v>566</v>
      </c>
      <c r="AD49" s="7">
        <v>642</v>
      </c>
      <c r="AE49" s="7">
        <v>484</v>
      </c>
      <c r="AF49" s="7">
        <v>429</v>
      </c>
      <c r="AG49" s="7">
        <v>365</v>
      </c>
      <c r="AH49" s="7">
        <v>330</v>
      </c>
      <c r="AI49" s="7">
        <v>229</v>
      </c>
      <c r="AJ49" s="7">
        <v>228</v>
      </c>
      <c r="AK49" s="7">
        <v>214</v>
      </c>
      <c r="AL49" s="7">
        <v>141</v>
      </c>
      <c r="AM49" s="7">
        <v>123</v>
      </c>
      <c r="AN49" s="7">
        <v>254</v>
      </c>
      <c r="AO49" s="7">
        <v>1</v>
      </c>
      <c r="AP49">
        <v>9969</v>
      </c>
      <c r="AQ49">
        <v>169</v>
      </c>
      <c r="AR49">
        <v>2</v>
      </c>
      <c r="AS49" t="s">
        <v>358</v>
      </c>
      <c r="AT49">
        <v>36</v>
      </c>
      <c r="AU49" s="7">
        <v>2269</v>
      </c>
      <c r="AV49" s="7">
        <v>1165</v>
      </c>
      <c r="AW49" s="7">
        <v>1104</v>
      </c>
      <c r="AX49" s="7">
        <v>1530</v>
      </c>
      <c r="AY49" s="7">
        <v>2269</v>
      </c>
      <c r="AZ49" s="7">
        <v>1591</v>
      </c>
      <c r="BA49" s="7">
        <v>678</v>
      </c>
      <c r="BB49" s="7">
        <v>51</v>
      </c>
      <c r="BC49" s="7">
        <v>42</v>
      </c>
      <c r="BD49" s="7">
        <v>118</v>
      </c>
      <c r="BE49" s="7">
        <v>126</v>
      </c>
      <c r="BF49" s="7">
        <v>159</v>
      </c>
      <c r="BG49" s="7">
        <v>129</v>
      </c>
      <c r="BH49" s="7">
        <v>134</v>
      </c>
      <c r="BI49" s="7">
        <v>148</v>
      </c>
      <c r="BJ49" s="7">
        <v>103</v>
      </c>
      <c r="BK49" s="7">
        <v>92</v>
      </c>
      <c r="BL49" s="7">
        <v>89</v>
      </c>
      <c r="BM49" s="7">
        <v>101</v>
      </c>
      <c r="BN49" s="7">
        <v>92</v>
      </c>
      <c r="BO49" s="7">
        <v>90</v>
      </c>
      <c r="BP49" s="7">
        <v>80</v>
      </c>
      <c r="BQ49" s="7">
        <v>81</v>
      </c>
      <c r="BR49" s="7">
        <v>69</v>
      </c>
      <c r="BS49" s="7">
        <v>55</v>
      </c>
      <c r="BT49" s="7">
        <v>63</v>
      </c>
      <c r="BU49" s="7">
        <v>54</v>
      </c>
      <c r="BV49" s="7">
        <v>45</v>
      </c>
      <c r="BW49" s="7">
        <v>56</v>
      </c>
      <c r="BX49" s="7">
        <v>47</v>
      </c>
      <c r="BY49" s="7">
        <v>41</v>
      </c>
      <c r="BZ49" s="7">
        <v>42</v>
      </c>
      <c r="CA49" s="7">
        <v>28</v>
      </c>
      <c r="CB49" s="7">
        <v>73</v>
      </c>
      <c r="CC49" s="7">
        <v>61</v>
      </c>
      <c r="CD49" s="7">
        <v>1081</v>
      </c>
      <c r="CE49" s="7">
        <v>1039</v>
      </c>
      <c r="CF49" s="7">
        <v>0</v>
      </c>
      <c r="CG49" s="7">
        <v>2</v>
      </c>
      <c r="CH49" s="7">
        <v>1824</v>
      </c>
      <c r="CI49" s="7">
        <v>411</v>
      </c>
      <c r="CJ49" s="7">
        <v>8638</v>
      </c>
      <c r="CK49" s="7">
        <v>1538</v>
      </c>
      <c r="CL49" s="7">
        <v>154</v>
      </c>
      <c r="CM49" s="7">
        <v>255</v>
      </c>
      <c r="CN49" s="7">
        <v>379</v>
      </c>
      <c r="CO49" s="7">
        <v>444</v>
      </c>
      <c r="CP49" s="7">
        <v>366</v>
      </c>
      <c r="CQ49" s="7">
        <v>637</v>
      </c>
      <c r="CR49" s="7">
        <v>1673</v>
      </c>
      <c r="CS49" s="7">
        <v>4957</v>
      </c>
      <c r="CT49" s="7">
        <v>654</v>
      </c>
      <c r="CU49" s="7">
        <v>235</v>
      </c>
      <c r="CV49" s="7">
        <v>73</v>
      </c>
      <c r="CW49" s="7">
        <v>267</v>
      </c>
      <c r="CX49" s="7">
        <v>35</v>
      </c>
      <c r="CY49" s="7">
        <v>6241</v>
      </c>
      <c r="CZ49" s="7">
        <v>3385</v>
      </c>
      <c r="DA49" s="7">
        <v>138</v>
      </c>
      <c r="DB49" s="7">
        <v>154</v>
      </c>
      <c r="DC49" s="7">
        <v>14</v>
      </c>
      <c r="DD49" s="7">
        <v>2863</v>
      </c>
      <c r="DE49" s="7">
        <v>1938</v>
      </c>
      <c r="DF49" s="7">
        <v>540</v>
      </c>
      <c r="DG49" s="7">
        <v>4835</v>
      </c>
      <c r="DH49" s="7">
        <v>0</v>
      </c>
      <c r="DI49" s="7">
        <v>0</v>
      </c>
      <c r="DJ49" s="7">
        <v>0</v>
      </c>
      <c r="DK49" s="7">
        <v>0</v>
      </c>
      <c r="DL49" s="7">
        <v>50</v>
      </c>
      <c r="DM49" s="7">
        <v>5</v>
      </c>
      <c r="DN49" s="7">
        <v>1</v>
      </c>
      <c r="DO49" s="7">
        <v>1</v>
      </c>
      <c r="DP49" s="7">
        <v>0</v>
      </c>
      <c r="DQ49" s="7">
        <v>0</v>
      </c>
      <c r="DR49" s="7">
        <v>0</v>
      </c>
      <c r="DS49" s="7">
        <v>0</v>
      </c>
      <c r="DT49" s="7">
        <v>67</v>
      </c>
      <c r="DU49" s="7">
        <v>63</v>
      </c>
      <c r="DV49" s="7">
        <v>45</v>
      </c>
      <c r="DW49" s="7">
        <v>35</v>
      </c>
      <c r="DX49" s="7">
        <v>24</v>
      </c>
      <c r="DY49" s="7">
        <v>25</v>
      </c>
      <c r="DZ49" s="7">
        <v>10</v>
      </c>
      <c r="EA49" s="7">
        <v>11</v>
      </c>
      <c r="EB49" s="7">
        <v>3</v>
      </c>
      <c r="EC49" s="7">
        <v>4</v>
      </c>
      <c r="ED49" s="7">
        <v>8</v>
      </c>
      <c r="EE49" s="7">
        <v>4</v>
      </c>
      <c r="EF49" s="7">
        <v>15</v>
      </c>
      <c r="EG49" s="7">
        <v>8</v>
      </c>
      <c r="EH49" s="7">
        <v>113</v>
      </c>
      <c r="EI49" s="7">
        <v>65</v>
      </c>
      <c r="EJ49" s="7">
        <v>44</v>
      </c>
      <c r="EK49" s="7">
        <v>17</v>
      </c>
      <c r="EL49" s="7">
        <v>5</v>
      </c>
      <c r="EM49" s="7">
        <v>10</v>
      </c>
      <c r="EN49" s="7">
        <v>16</v>
      </c>
      <c r="EO49" s="7">
        <v>2707</v>
      </c>
      <c r="EP49" s="7">
        <v>2596</v>
      </c>
      <c r="EQ49" s="7">
        <v>111</v>
      </c>
      <c r="ER49" s="7">
        <v>917</v>
      </c>
      <c r="ES49" s="7">
        <v>649</v>
      </c>
      <c r="ET49" s="7">
        <v>632</v>
      </c>
      <c r="EU49" s="7">
        <v>17</v>
      </c>
      <c r="EV49" s="7">
        <v>3103</v>
      </c>
      <c r="EW49" s="134">
        <v>47.379310345</v>
      </c>
      <c r="EX49" s="134">
        <v>10.827586207</v>
      </c>
      <c r="EY49" s="134">
        <v>10.034482758999999</v>
      </c>
      <c r="EZ49" s="134">
        <v>30.758620690000001</v>
      </c>
      <c r="FA49" s="134">
        <v>1</v>
      </c>
      <c r="FB49" s="7">
        <v>393</v>
      </c>
      <c r="FC49" s="7">
        <v>1239</v>
      </c>
      <c r="FD49" s="7">
        <v>118</v>
      </c>
      <c r="FE49" s="7">
        <v>591</v>
      </c>
      <c r="FF49" s="7">
        <v>2</v>
      </c>
      <c r="FG49" s="7">
        <v>553</v>
      </c>
      <c r="FH49" s="7">
        <v>453</v>
      </c>
      <c r="FI49" s="134">
        <v>43.620689655</v>
      </c>
      <c r="FJ49" s="134">
        <v>30.482758620999999</v>
      </c>
      <c r="FK49" s="134">
        <v>22.310344828000002</v>
      </c>
      <c r="FL49" s="134">
        <v>3.5862068965999998</v>
      </c>
      <c r="FM49" s="151">
        <v>3875</v>
      </c>
      <c r="FN49" s="151">
        <v>1175</v>
      </c>
      <c r="FO49" s="7">
        <v>230</v>
      </c>
      <c r="FP49" s="7">
        <v>154</v>
      </c>
      <c r="FQ49" s="7">
        <v>11</v>
      </c>
      <c r="FR49" s="7">
        <v>4</v>
      </c>
      <c r="FS49" s="7">
        <v>3447</v>
      </c>
      <c r="FT49" s="7">
        <v>1</v>
      </c>
      <c r="FU49" s="7">
        <v>43</v>
      </c>
      <c r="FV49" s="7">
        <v>27</v>
      </c>
      <c r="FW49" s="7">
        <v>4197</v>
      </c>
      <c r="FX49" s="7">
        <v>882</v>
      </c>
      <c r="FY49" s="7">
        <v>236</v>
      </c>
      <c r="FZ49" s="7">
        <v>166</v>
      </c>
      <c r="GA49" s="7">
        <v>13</v>
      </c>
      <c r="GB49" s="7">
        <v>1</v>
      </c>
      <c r="GC49" s="7">
        <v>3751</v>
      </c>
      <c r="GD49" s="7">
        <v>0</v>
      </c>
      <c r="GE49" s="7">
        <v>48</v>
      </c>
      <c r="GF49" s="7">
        <v>20</v>
      </c>
      <c r="GG49" s="7">
        <v>465</v>
      </c>
      <c r="GH49" s="7">
        <v>496</v>
      </c>
      <c r="GI49" s="7">
        <v>530</v>
      </c>
      <c r="GJ49" s="7">
        <v>475</v>
      </c>
      <c r="GK49" s="7">
        <v>240</v>
      </c>
      <c r="GL49" s="7">
        <v>251</v>
      </c>
      <c r="GM49" s="7">
        <v>238</v>
      </c>
      <c r="GN49" s="7">
        <v>221</v>
      </c>
      <c r="GO49" s="7">
        <v>200</v>
      </c>
      <c r="GP49" s="7">
        <v>169</v>
      </c>
      <c r="GQ49" s="7">
        <v>140</v>
      </c>
      <c r="GR49" s="7">
        <v>120</v>
      </c>
      <c r="GS49" s="7">
        <v>99</v>
      </c>
      <c r="GT49" s="7">
        <v>79</v>
      </c>
      <c r="GU49" s="7">
        <v>53</v>
      </c>
      <c r="GV49" s="7">
        <v>41</v>
      </c>
      <c r="GW49" s="7">
        <v>32</v>
      </c>
      <c r="GX49" s="7">
        <v>26</v>
      </c>
      <c r="GY49" s="7">
        <v>407</v>
      </c>
      <c r="GZ49" s="7">
        <v>481</v>
      </c>
      <c r="HA49" s="7">
        <v>492</v>
      </c>
      <c r="HB49" s="7">
        <v>507</v>
      </c>
      <c r="HC49" s="7">
        <v>325</v>
      </c>
      <c r="HD49" s="7">
        <v>356</v>
      </c>
      <c r="HE49" s="7">
        <v>300</v>
      </c>
      <c r="HF49" s="7">
        <v>286</v>
      </c>
      <c r="HG49" s="7">
        <v>202</v>
      </c>
      <c r="HH49" s="7">
        <v>207</v>
      </c>
      <c r="HI49" s="7">
        <v>192</v>
      </c>
      <c r="HJ49" s="7">
        <v>119</v>
      </c>
      <c r="HK49" s="7">
        <v>104</v>
      </c>
      <c r="HL49" s="7">
        <v>76</v>
      </c>
      <c r="HM49" s="7">
        <v>54</v>
      </c>
      <c r="HN49" s="7">
        <v>41</v>
      </c>
      <c r="HO49" s="7">
        <v>24</v>
      </c>
      <c r="HP49" s="7">
        <v>24</v>
      </c>
      <c r="HQ49" s="7">
        <v>2218</v>
      </c>
      <c r="HR49" s="7">
        <v>1</v>
      </c>
      <c r="HS49" s="7">
        <v>1</v>
      </c>
      <c r="HT49" s="7">
        <v>1</v>
      </c>
      <c r="HU49" s="7">
        <v>3</v>
      </c>
      <c r="HV49" s="7">
        <v>0</v>
      </c>
      <c r="HW49" s="7">
        <v>0</v>
      </c>
      <c r="HX49" s="7">
        <v>11</v>
      </c>
      <c r="HY49" s="7">
        <v>153</v>
      </c>
      <c r="HZ49" s="7">
        <v>255</v>
      </c>
      <c r="IA49" s="7">
        <v>378</v>
      </c>
      <c r="IB49" s="7">
        <v>443</v>
      </c>
      <c r="IC49" s="7">
        <v>366</v>
      </c>
      <c r="ID49" s="7">
        <v>257</v>
      </c>
      <c r="IE49" s="7">
        <v>138</v>
      </c>
      <c r="IF49" s="7">
        <v>106</v>
      </c>
      <c r="IG49" s="7">
        <v>136</v>
      </c>
      <c r="IH49" s="7">
        <v>223</v>
      </c>
      <c r="II49" s="7">
        <v>369</v>
      </c>
      <c r="IJ49" s="7">
        <v>638</v>
      </c>
      <c r="IK49" s="7">
        <v>620</v>
      </c>
      <c r="IL49" s="7">
        <v>264</v>
      </c>
      <c r="IM49" s="7">
        <v>79</v>
      </c>
      <c r="IN49" s="7">
        <v>14</v>
      </c>
      <c r="IO49" s="7">
        <v>3</v>
      </c>
      <c r="IP49" s="7">
        <v>5</v>
      </c>
      <c r="IQ49" s="7">
        <v>998</v>
      </c>
      <c r="IR49" s="7">
        <v>798</v>
      </c>
      <c r="IS49" s="7">
        <v>334</v>
      </c>
      <c r="IT49" s="7">
        <v>67</v>
      </c>
      <c r="IU49" s="7">
        <v>20</v>
      </c>
      <c r="IV49" s="7">
        <v>1377</v>
      </c>
      <c r="IW49" s="7">
        <v>407</v>
      </c>
      <c r="IX49" s="7">
        <v>5</v>
      </c>
      <c r="IY49" s="7">
        <v>23</v>
      </c>
      <c r="IZ49" s="7">
        <v>1</v>
      </c>
      <c r="JA49" s="7">
        <v>410</v>
      </c>
      <c r="JB49" s="7">
        <v>1248</v>
      </c>
      <c r="JC49" s="7">
        <v>525</v>
      </c>
      <c r="JD49" s="7">
        <v>146</v>
      </c>
      <c r="JE49" s="7">
        <v>112</v>
      </c>
      <c r="JF49" s="151">
        <v>2072.9098488475779</v>
      </c>
      <c r="JG49" s="151">
        <v>143.86055848645515</v>
      </c>
      <c r="JH49" s="7">
        <v>210</v>
      </c>
      <c r="JI49" s="7">
        <v>1873</v>
      </c>
      <c r="JJ49" s="7">
        <v>141</v>
      </c>
      <c r="JK49" s="7">
        <v>8</v>
      </c>
      <c r="JL49" s="7">
        <v>1214</v>
      </c>
      <c r="JM49" s="7">
        <v>563</v>
      </c>
      <c r="JN49" s="7">
        <v>273</v>
      </c>
      <c r="JO49" s="7">
        <v>999</v>
      </c>
      <c r="JP49" s="7">
        <v>1648</v>
      </c>
      <c r="JQ49" s="7">
        <v>229</v>
      </c>
      <c r="JR49" s="7">
        <v>152</v>
      </c>
      <c r="JS49" s="7">
        <v>855</v>
      </c>
      <c r="JT49" s="7">
        <v>38</v>
      </c>
      <c r="JU49" s="151">
        <v>418.18397459268795</v>
      </c>
      <c r="JV49" s="151">
        <v>1453.1014579334155</v>
      </c>
      <c r="JW49" s="151">
        <v>151.98703278263659</v>
      </c>
      <c r="JX49" s="151">
        <v>49.637383538837959</v>
      </c>
      <c r="JY49" s="7">
        <v>2025</v>
      </c>
      <c r="JZ49" s="7">
        <v>10111</v>
      </c>
      <c r="KA49" s="7">
        <v>5</v>
      </c>
      <c r="KB49" s="7">
        <v>3</v>
      </c>
      <c r="KC49" s="7">
        <v>3</v>
      </c>
      <c r="KD49" s="7">
        <v>8</v>
      </c>
      <c r="KE49" s="7">
        <v>0</v>
      </c>
      <c r="KF49" s="7">
        <v>0</v>
      </c>
      <c r="KG49" s="7">
        <v>46</v>
      </c>
      <c r="KH49" s="7">
        <v>916</v>
      </c>
      <c r="KI49" s="7">
        <v>8619</v>
      </c>
      <c r="KJ49" s="7">
        <v>585</v>
      </c>
      <c r="KK49" s="7">
        <v>48</v>
      </c>
      <c r="KL49" s="7">
        <v>1904</v>
      </c>
      <c r="KM49" s="7">
        <v>6616</v>
      </c>
      <c r="KN49" s="7">
        <v>692</v>
      </c>
      <c r="KO49" s="7">
        <v>226</v>
      </c>
      <c r="KP49" s="7">
        <v>9438</v>
      </c>
      <c r="KQ49" s="7">
        <v>655</v>
      </c>
      <c r="KR49" s="7">
        <v>1732</v>
      </c>
      <c r="KS49" s="7">
        <v>1732</v>
      </c>
      <c r="KT49" s="7">
        <v>348</v>
      </c>
      <c r="KU49" s="7">
        <v>114</v>
      </c>
      <c r="KV49" s="7">
        <v>296</v>
      </c>
      <c r="KW49" s="7">
        <v>0</v>
      </c>
      <c r="KX49" s="7">
        <v>294</v>
      </c>
      <c r="KY49" s="7">
        <v>111</v>
      </c>
      <c r="KZ49" s="7">
        <v>293</v>
      </c>
      <c r="LA49" s="7">
        <v>1</v>
      </c>
      <c r="LB49" s="7">
        <v>917</v>
      </c>
      <c r="LC49" s="7">
        <v>884</v>
      </c>
      <c r="LD49" s="7">
        <v>368</v>
      </c>
      <c r="LE49" s="7">
        <v>583</v>
      </c>
      <c r="LF49" s="7">
        <v>6731</v>
      </c>
      <c r="LG49" s="7">
        <v>21</v>
      </c>
      <c r="LH49" s="7">
        <v>1170</v>
      </c>
      <c r="LI49" s="7">
        <v>161</v>
      </c>
      <c r="LJ49" s="7">
        <v>570</v>
      </c>
      <c r="LK49" s="7">
        <v>2</v>
      </c>
      <c r="LL49" s="7">
        <v>622</v>
      </c>
      <c r="LM49" s="7">
        <v>332</v>
      </c>
      <c r="LN49" s="7">
        <v>14</v>
      </c>
      <c r="LO49" s="7">
        <v>1272</v>
      </c>
      <c r="LP49" s="7">
        <v>139</v>
      </c>
      <c r="LQ49" s="7">
        <v>565</v>
      </c>
      <c r="LR49" s="7">
        <v>3</v>
      </c>
      <c r="LS49" s="7">
        <v>546</v>
      </c>
      <c r="LT49" s="7">
        <v>315</v>
      </c>
      <c r="LU49" s="232">
        <v>6.9737038696999996</v>
      </c>
      <c r="LV49" s="232">
        <v>7.287198289</v>
      </c>
      <c r="LW49" s="232">
        <v>6.6736842105000003</v>
      </c>
      <c r="LX49" s="7">
        <v>2232</v>
      </c>
      <c r="LY49" s="7">
        <v>10168</v>
      </c>
    </row>
    <row r="50" spans="1:337" x14ac:dyDescent="0.25">
      <c r="A50" t="s">
        <v>124</v>
      </c>
      <c r="B50" t="s">
        <v>125</v>
      </c>
      <c r="C50" s="7">
        <v>18533</v>
      </c>
      <c r="D50">
        <v>24517</v>
      </c>
      <c r="F50">
        <f t="shared" si="2"/>
        <v>-24517</v>
      </c>
      <c r="G50">
        <f t="shared" si="3"/>
        <v>-100</v>
      </c>
      <c r="H50">
        <v>12121</v>
      </c>
      <c r="I50">
        <v>12396</v>
      </c>
      <c r="J50">
        <v>6086</v>
      </c>
      <c r="K50">
        <v>18431</v>
      </c>
      <c r="L50" s="7">
        <v>1474</v>
      </c>
      <c r="M50" s="7">
        <v>1566</v>
      </c>
      <c r="N50" s="7">
        <v>1499</v>
      </c>
      <c r="O50" s="7">
        <v>1417</v>
      </c>
      <c r="P50" s="7">
        <v>1213</v>
      </c>
      <c r="Q50" s="7">
        <v>1008</v>
      </c>
      <c r="R50" s="7">
        <v>807</v>
      </c>
      <c r="S50" s="7">
        <v>723</v>
      </c>
      <c r="T50" s="7">
        <v>567</v>
      </c>
      <c r="U50" s="7">
        <v>420</v>
      </c>
      <c r="V50" s="7">
        <v>305</v>
      </c>
      <c r="W50" s="7">
        <v>350</v>
      </c>
      <c r="X50" s="7">
        <v>230</v>
      </c>
      <c r="Y50" s="7">
        <v>541</v>
      </c>
      <c r="Z50" s="7">
        <v>1</v>
      </c>
      <c r="AA50" s="7">
        <v>1502</v>
      </c>
      <c r="AB50" s="7">
        <v>1475</v>
      </c>
      <c r="AC50" s="7">
        <v>1417</v>
      </c>
      <c r="AD50" s="7">
        <v>1459</v>
      </c>
      <c r="AE50" s="7">
        <v>1344</v>
      </c>
      <c r="AF50" s="7">
        <v>1134</v>
      </c>
      <c r="AG50" s="7">
        <v>880</v>
      </c>
      <c r="AH50" s="7">
        <v>735</v>
      </c>
      <c r="AI50" s="7">
        <v>564</v>
      </c>
      <c r="AJ50" s="7">
        <v>440</v>
      </c>
      <c r="AK50" s="7">
        <v>356</v>
      </c>
      <c r="AL50" s="7">
        <v>315</v>
      </c>
      <c r="AM50" s="7">
        <v>237</v>
      </c>
      <c r="AN50" s="7">
        <v>534</v>
      </c>
      <c r="AO50" s="7">
        <v>4</v>
      </c>
      <c r="AP50">
        <v>24447</v>
      </c>
      <c r="AQ50">
        <v>30</v>
      </c>
      <c r="AR50">
        <v>2</v>
      </c>
      <c r="AS50" t="s">
        <v>358</v>
      </c>
      <c r="AT50">
        <v>38</v>
      </c>
      <c r="AU50" s="7">
        <v>4971</v>
      </c>
      <c r="AV50" s="7">
        <v>2547</v>
      </c>
      <c r="AW50" s="7">
        <v>2424</v>
      </c>
      <c r="AX50" s="7">
        <v>3773</v>
      </c>
      <c r="AY50" s="7">
        <v>4971</v>
      </c>
      <c r="AZ50" s="7">
        <v>4152</v>
      </c>
      <c r="BA50" s="7">
        <v>819</v>
      </c>
      <c r="BB50" s="7">
        <v>114</v>
      </c>
      <c r="BC50" s="7">
        <v>108</v>
      </c>
      <c r="BD50" s="7">
        <v>334</v>
      </c>
      <c r="BE50" s="7">
        <v>338</v>
      </c>
      <c r="BF50" s="7">
        <v>303</v>
      </c>
      <c r="BG50" s="7">
        <v>305</v>
      </c>
      <c r="BH50" s="7">
        <v>309</v>
      </c>
      <c r="BI50" s="7">
        <v>292</v>
      </c>
      <c r="BJ50" s="7">
        <v>231</v>
      </c>
      <c r="BK50" s="7">
        <v>253</v>
      </c>
      <c r="BL50" s="7">
        <v>232</v>
      </c>
      <c r="BM50" s="7">
        <v>220</v>
      </c>
      <c r="BN50" s="7">
        <v>154</v>
      </c>
      <c r="BO50" s="7">
        <v>173</v>
      </c>
      <c r="BP50" s="7">
        <v>161</v>
      </c>
      <c r="BQ50" s="7">
        <v>130</v>
      </c>
      <c r="BR50" s="7">
        <v>149</v>
      </c>
      <c r="BS50" s="7">
        <v>113</v>
      </c>
      <c r="BT50" s="7">
        <v>112</v>
      </c>
      <c r="BU50" s="7">
        <v>100</v>
      </c>
      <c r="BV50" s="7">
        <v>74</v>
      </c>
      <c r="BW50" s="7">
        <v>80</v>
      </c>
      <c r="BX50" s="7">
        <v>96</v>
      </c>
      <c r="BY50" s="7">
        <v>93</v>
      </c>
      <c r="BZ50" s="7">
        <v>83</v>
      </c>
      <c r="CA50" s="7">
        <v>69</v>
      </c>
      <c r="CB50" s="7">
        <v>195</v>
      </c>
      <c r="CC50" s="7">
        <v>150</v>
      </c>
      <c r="CD50" s="7">
        <v>2124</v>
      </c>
      <c r="CE50" s="7">
        <v>1794</v>
      </c>
      <c r="CF50" s="7">
        <v>372</v>
      </c>
      <c r="CG50" s="7">
        <v>580</v>
      </c>
      <c r="CH50" s="7">
        <v>4385</v>
      </c>
      <c r="CI50" s="7">
        <v>580</v>
      </c>
      <c r="CJ50" s="7">
        <v>22526</v>
      </c>
      <c r="CK50" s="7">
        <v>1988</v>
      </c>
      <c r="CL50" s="7">
        <v>228</v>
      </c>
      <c r="CM50" s="7">
        <v>508</v>
      </c>
      <c r="CN50" s="7">
        <v>709</v>
      </c>
      <c r="CO50" s="7">
        <v>946</v>
      </c>
      <c r="CP50" s="7">
        <v>871</v>
      </c>
      <c r="CQ50" s="7">
        <v>1703</v>
      </c>
      <c r="CR50" s="7">
        <v>4177</v>
      </c>
      <c r="CS50" s="7">
        <v>12820</v>
      </c>
      <c r="CT50" s="7">
        <v>1160</v>
      </c>
      <c r="CU50" s="7">
        <v>628</v>
      </c>
      <c r="CV50" s="7">
        <v>203</v>
      </c>
      <c r="CW50" s="7">
        <v>450</v>
      </c>
      <c r="CX50" s="7">
        <v>31</v>
      </c>
      <c r="CY50" s="7">
        <v>16565</v>
      </c>
      <c r="CZ50" s="7">
        <v>7159</v>
      </c>
      <c r="DA50" s="7">
        <v>93</v>
      </c>
      <c r="DB50" s="7">
        <v>228</v>
      </c>
      <c r="DC50" s="7">
        <v>13</v>
      </c>
      <c r="DD50" s="7">
        <v>2502</v>
      </c>
      <c r="DE50" s="7">
        <v>3253</v>
      </c>
      <c r="DF50" s="7">
        <v>12676</v>
      </c>
      <c r="DG50" s="7">
        <v>0</v>
      </c>
      <c r="DH50" s="7">
        <v>6086</v>
      </c>
      <c r="DI50" s="7">
        <v>0</v>
      </c>
      <c r="DJ50" s="7">
        <v>0</v>
      </c>
      <c r="DK50" s="7">
        <v>0</v>
      </c>
      <c r="DL50" s="7">
        <v>45</v>
      </c>
      <c r="DM50" s="7">
        <v>8</v>
      </c>
      <c r="DN50" s="7">
        <v>13</v>
      </c>
      <c r="DO50" s="7">
        <v>0</v>
      </c>
      <c r="DP50" s="7">
        <v>1</v>
      </c>
      <c r="DQ50" s="7">
        <v>0</v>
      </c>
      <c r="DR50" s="7">
        <v>0</v>
      </c>
      <c r="DS50" s="7">
        <v>0</v>
      </c>
      <c r="DT50" s="7">
        <v>115</v>
      </c>
      <c r="DU50" s="7">
        <v>116</v>
      </c>
      <c r="DV50" s="7">
        <v>52</v>
      </c>
      <c r="DW50" s="7">
        <v>55</v>
      </c>
      <c r="DX50" s="7">
        <v>27</v>
      </c>
      <c r="DY50" s="7">
        <v>28</v>
      </c>
      <c r="DZ50" s="7">
        <v>23</v>
      </c>
      <c r="EA50" s="7">
        <v>29</v>
      </c>
      <c r="EB50" s="7">
        <v>6</v>
      </c>
      <c r="EC50" s="7">
        <v>7</v>
      </c>
      <c r="ED50" s="7">
        <v>6</v>
      </c>
      <c r="EE50" s="7">
        <v>6</v>
      </c>
      <c r="EF50" s="7">
        <v>28</v>
      </c>
      <c r="EG50" s="7">
        <v>28</v>
      </c>
      <c r="EH50" s="7">
        <v>124</v>
      </c>
      <c r="EI50" s="7">
        <v>64</v>
      </c>
      <c r="EJ50" s="7">
        <v>31</v>
      </c>
      <c r="EK50" s="7">
        <v>26</v>
      </c>
      <c r="EL50" s="7">
        <v>12</v>
      </c>
      <c r="EM50" s="7">
        <v>10</v>
      </c>
      <c r="EN50" s="7">
        <v>27</v>
      </c>
      <c r="EO50" s="7">
        <v>6695</v>
      </c>
      <c r="EP50" s="7">
        <v>6565</v>
      </c>
      <c r="EQ50" s="7">
        <v>130</v>
      </c>
      <c r="ER50" s="7">
        <v>1689</v>
      </c>
      <c r="ES50" s="7">
        <v>936</v>
      </c>
      <c r="ET50" s="7">
        <v>920</v>
      </c>
      <c r="EU50" s="7">
        <v>16</v>
      </c>
      <c r="EV50" s="7">
        <v>7816</v>
      </c>
      <c r="EW50" s="134">
        <v>66.481323067999995</v>
      </c>
      <c r="EX50" s="134">
        <v>14.884516680999999</v>
      </c>
      <c r="EY50" s="134">
        <v>5.6030795551999999</v>
      </c>
      <c r="EZ50" s="134">
        <v>12.318220701</v>
      </c>
      <c r="FA50" s="134">
        <v>0.71285999430000002</v>
      </c>
      <c r="FB50" s="7">
        <v>888</v>
      </c>
      <c r="FC50" s="7">
        <v>4117</v>
      </c>
      <c r="FD50" s="7">
        <v>162</v>
      </c>
      <c r="FE50" s="7">
        <v>1259</v>
      </c>
      <c r="FF50" s="7">
        <v>7</v>
      </c>
      <c r="FG50" s="7">
        <v>684</v>
      </c>
      <c r="FH50" s="7">
        <v>474</v>
      </c>
      <c r="FI50" s="134">
        <v>73.923581408999993</v>
      </c>
      <c r="FJ50" s="134">
        <v>11.448531508</v>
      </c>
      <c r="FK50" s="134">
        <v>11.177644710999999</v>
      </c>
      <c r="FL50" s="134">
        <v>3.4502423724</v>
      </c>
      <c r="FM50" s="151">
        <v>7036</v>
      </c>
      <c r="FN50" s="151">
        <v>5048</v>
      </c>
      <c r="FO50" s="7">
        <v>1375</v>
      </c>
      <c r="FP50" s="7">
        <v>438</v>
      </c>
      <c r="FQ50" s="7">
        <v>115</v>
      </c>
      <c r="FR50" s="7">
        <v>3</v>
      </c>
      <c r="FS50" s="7">
        <v>4887</v>
      </c>
      <c r="FT50" s="7">
        <v>114</v>
      </c>
      <c r="FU50" s="7">
        <v>116</v>
      </c>
      <c r="FV50" s="7">
        <v>37</v>
      </c>
      <c r="FW50" s="7">
        <v>7442</v>
      </c>
      <c r="FX50" s="7">
        <v>4911</v>
      </c>
      <c r="FY50" s="7">
        <v>1309</v>
      </c>
      <c r="FZ50" s="7">
        <v>463</v>
      </c>
      <c r="GA50" s="7">
        <v>109</v>
      </c>
      <c r="GB50" s="7">
        <v>5</v>
      </c>
      <c r="GC50" s="7">
        <v>5361</v>
      </c>
      <c r="GD50" s="7">
        <v>93</v>
      </c>
      <c r="GE50" s="7">
        <v>120</v>
      </c>
      <c r="GF50" s="7">
        <v>43</v>
      </c>
      <c r="GG50" s="7">
        <v>864</v>
      </c>
      <c r="GH50" s="7">
        <v>983</v>
      </c>
      <c r="GI50" s="7">
        <v>926</v>
      </c>
      <c r="GJ50" s="7">
        <v>778</v>
      </c>
      <c r="GK50" s="7">
        <v>579</v>
      </c>
      <c r="GL50" s="7">
        <v>559</v>
      </c>
      <c r="GM50" s="7">
        <v>492</v>
      </c>
      <c r="GN50" s="7">
        <v>458</v>
      </c>
      <c r="GO50" s="7">
        <v>333</v>
      </c>
      <c r="GP50" s="7">
        <v>241</v>
      </c>
      <c r="GQ50" s="7">
        <v>191</v>
      </c>
      <c r="GR50" s="7">
        <v>200</v>
      </c>
      <c r="GS50" s="7">
        <v>121</v>
      </c>
      <c r="GT50" s="7">
        <v>104</v>
      </c>
      <c r="GU50" s="7">
        <v>95</v>
      </c>
      <c r="GV50" s="7">
        <v>54</v>
      </c>
      <c r="GW50" s="7">
        <v>34</v>
      </c>
      <c r="GX50" s="7">
        <v>24</v>
      </c>
      <c r="GY50" s="7">
        <v>874</v>
      </c>
      <c r="GZ50" s="7">
        <v>929</v>
      </c>
      <c r="HA50" s="7">
        <v>866</v>
      </c>
      <c r="HB50" s="7">
        <v>811</v>
      </c>
      <c r="HC50" s="7">
        <v>751</v>
      </c>
      <c r="HD50" s="7">
        <v>684</v>
      </c>
      <c r="HE50" s="7">
        <v>569</v>
      </c>
      <c r="HF50" s="7">
        <v>463</v>
      </c>
      <c r="HG50" s="7">
        <v>359</v>
      </c>
      <c r="HH50" s="7">
        <v>276</v>
      </c>
      <c r="HI50" s="7">
        <v>236</v>
      </c>
      <c r="HJ50" s="7">
        <v>192</v>
      </c>
      <c r="HK50" s="7">
        <v>145</v>
      </c>
      <c r="HL50" s="7">
        <v>126</v>
      </c>
      <c r="HM50" s="7">
        <v>73</v>
      </c>
      <c r="HN50" s="7">
        <v>40</v>
      </c>
      <c r="HO50" s="7">
        <v>25</v>
      </c>
      <c r="HP50" s="7">
        <v>21</v>
      </c>
      <c r="HQ50" s="7">
        <v>4942</v>
      </c>
      <c r="HR50" s="7">
        <v>1</v>
      </c>
      <c r="HS50" s="7">
        <v>0</v>
      </c>
      <c r="HT50" s="7">
        <v>0</v>
      </c>
      <c r="HU50" s="7">
        <v>0</v>
      </c>
      <c r="HV50" s="7">
        <v>0</v>
      </c>
      <c r="HW50" s="7">
        <v>0</v>
      </c>
      <c r="HX50" s="7">
        <v>23</v>
      </c>
      <c r="HY50" s="7">
        <v>228</v>
      </c>
      <c r="HZ50" s="7">
        <v>508</v>
      </c>
      <c r="IA50" s="7">
        <v>709</v>
      </c>
      <c r="IB50" s="7">
        <v>946</v>
      </c>
      <c r="IC50" s="7">
        <v>871</v>
      </c>
      <c r="ID50" s="7">
        <v>613</v>
      </c>
      <c r="IE50" s="7">
        <v>393</v>
      </c>
      <c r="IF50" s="7">
        <v>261</v>
      </c>
      <c r="IG50" s="7">
        <v>436</v>
      </c>
      <c r="IH50" s="7">
        <v>643</v>
      </c>
      <c r="II50" s="7">
        <v>1779</v>
      </c>
      <c r="IJ50" s="7">
        <v>1327</v>
      </c>
      <c r="IK50" s="7">
        <v>674</v>
      </c>
      <c r="IL50" s="7">
        <v>307</v>
      </c>
      <c r="IM50" s="7">
        <v>123</v>
      </c>
      <c r="IN50" s="7">
        <v>43</v>
      </c>
      <c r="IO50" s="7">
        <v>23</v>
      </c>
      <c r="IP50" s="7">
        <v>17</v>
      </c>
      <c r="IQ50" s="7">
        <v>2784</v>
      </c>
      <c r="IR50" s="7">
        <v>1404</v>
      </c>
      <c r="IS50" s="7">
        <v>510</v>
      </c>
      <c r="IT50" s="7">
        <v>174</v>
      </c>
      <c r="IU50" s="7">
        <v>64</v>
      </c>
      <c r="IV50" s="7">
        <v>1710</v>
      </c>
      <c r="IW50" s="7">
        <v>2844</v>
      </c>
      <c r="IX50" s="7">
        <v>19</v>
      </c>
      <c r="IY50" s="7">
        <v>160</v>
      </c>
      <c r="IZ50" s="7">
        <v>9</v>
      </c>
      <c r="JA50" s="7">
        <v>192</v>
      </c>
      <c r="JB50" s="7">
        <v>3187</v>
      </c>
      <c r="JC50" s="7">
        <v>966</v>
      </c>
      <c r="JD50" s="7">
        <v>226</v>
      </c>
      <c r="JE50" s="7">
        <v>133</v>
      </c>
      <c r="JF50" s="151">
        <v>4625.5470026301491</v>
      </c>
      <c r="JG50" s="151">
        <v>317.17342175842077</v>
      </c>
      <c r="JH50" s="7">
        <v>1075</v>
      </c>
      <c r="JI50" s="7">
        <v>3639</v>
      </c>
      <c r="JJ50" s="7">
        <v>217</v>
      </c>
      <c r="JK50" s="7">
        <v>34</v>
      </c>
      <c r="JL50" s="7">
        <v>1992</v>
      </c>
      <c r="JM50" s="7">
        <v>901</v>
      </c>
      <c r="JN50" s="7">
        <v>601</v>
      </c>
      <c r="JO50" s="7">
        <v>2787</v>
      </c>
      <c r="JP50" s="7">
        <v>3870</v>
      </c>
      <c r="JQ50" s="7">
        <v>282</v>
      </c>
      <c r="JR50" s="7">
        <v>647</v>
      </c>
      <c r="JS50" s="7">
        <v>1670</v>
      </c>
      <c r="JT50" s="7">
        <v>119</v>
      </c>
      <c r="JU50" s="151">
        <v>535.50863801357889</v>
      </c>
      <c r="JV50" s="151">
        <v>3770.4344951818398</v>
      </c>
      <c r="JW50" s="151">
        <v>223.39864891413671</v>
      </c>
      <c r="JX50" s="151">
        <v>96.205220520593784</v>
      </c>
      <c r="JY50" s="7">
        <v>4797</v>
      </c>
      <c r="JZ50" s="7">
        <v>24418</v>
      </c>
      <c r="KA50" s="7">
        <v>4</v>
      </c>
      <c r="KB50" s="7">
        <v>0</v>
      </c>
      <c r="KC50" s="7">
        <v>0</v>
      </c>
      <c r="KD50" s="7">
        <v>0</v>
      </c>
      <c r="KE50" s="7">
        <v>0</v>
      </c>
      <c r="KF50" s="7">
        <v>0</v>
      </c>
      <c r="KG50" s="7">
        <v>95</v>
      </c>
      <c r="KH50" s="7">
        <v>5264</v>
      </c>
      <c r="KI50" s="7">
        <v>18117</v>
      </c>
      <c r="KJ50" s="7">
        <v>973</v>
      </c>
      <c r="KK50" s="7">
        <v>160</v>
      </c>
      <c r="KL50" s="7">
        <v>2644</v>
      </c>
      <c r="KM50" s="7">
        <v>18616</v>
      </c>
      <c r="KN50" s="7">
        <v>1103</v>
      </c>
      <c r="KO50" s="7">
        <v>475</v>
      </c>
      <c r="KP50" s="7">
        <v>22838</v>
      </c>
      <c r="KQ50" s="7">
        <v>1566</v>
      </c>
      <c r="KR50" s="7">
        <v>3762</v>
      </c>
      <c r="KS50" s="7">
        <v>3762</v>
      </c>
      <c r="KT50" s="7">
        <v>803</v>
      </c>
      <c r="KU50" s="7">
        <v>255</v>
      </c>
      <c r="KV50" s="7">
        <v>585</v>
      </c>
      <c r="KW50" s="7">
        <v>1</v>
      </c>
      <c r="KX50" s="7">
        <v>810</v>
      </c>
      <c r="KY50" s="7">
        <v>248</v>
      </c>
      <c r="KZ50" s="7">
        <v>539</v>
      </c>
      <c r="LA50" s="7">
        <v>3</v>
      </c>
      <c r="LB50" s="7">
        <v>2089</v>
      </c>
      <c r="LC50" s="7">
        <v>1952</v>
      </c>
      <c r="LD50" s="7">
        <v>1051</v>
      </c>
      <c r="LE50" s="7">
        <v>1851</v>
      </c>
      <c r="LF50" s="7">
        <v>15579</v>
      </c>
      <c r="LG50" s="7">
        <v>44</v>
      </c>
      <c r="LH50" s="7">
        <v>3833</v>
      </c>
      <c r="LI50" s="7">
        <v>270</v>
      </c>
      <c r="LJ50" s="7">
        <v>1282</v>
      </c>
      <c r="LK50" s="7">
        <v>7</v>
      </c>
      <c r="LL50" s="7">
        <v>857</v>
      </c>
      <c r="LM50" s="7">
        <v>431</v>
      </c>
      <c r="LN50" s="7">
        <v>30</v>
      </c>
      <c r="LO50" s="7">
        <v>3973</v>
      </c>
      <c r="LP50" s="7">
        <v>257</v>
      </c>
      <c r="LQ50" s="7">
        <v>1311</v>
      </c>
      <c r="LR50" s="7">
        <v>6</v>
      </c>
      <c r="LS50" s="7">
        <v>658</v>
      </c>
      <c r="LT50" s="7">
        <v>251</v>
      </c>
      <c r="LU50" s="232">
        <v>5.9425116399000002</v>
      </c>
      <c r="LV50" s="232">
        <v>6.3875166002999997</v>
      </c>
      <c r="LW50" s="232">
        <v>5.5201663726000003</v>
      </c>
      <c r="LX50" s="7">
        <v>4965</v>
      </c>
      <c r="LY50" s="7">
        <v>24514</v>
      </c>
    </row>
    <row r="51" spans="1:337" x14ac:dyDescent="0.25">
      <c r="A51" t="s">
        <v>126</v>
      </c>
      <c r="B51" t="s">
        <v>127</v>
      </c>
      <c r="C51" s="7">
        <v>4707</v>
      </c>
      <c r="D51">
        <v>5478</v>
      </c>
      <c r="F51">
        <f t="shared" si="2"/>
        <v>-5478</v>
      </c>
      <c r="G51">
        <f t="shared" si="3"/>
        <v>-100</v>
      </c>
      <c r="H51">
        <v>2775</v>
      </c>
      <c r="I51">
        <v>2703</v>
      </c>
      <c r="J51">
        <v>0</v>
      </c>
      <c r="K51">
        <v>5478</v>
      </c>
      <c r="L51" s="7">
        <v>269</v>
      </c>
      <c r="M51" s="7">
        <v>317</v>
      </c>
      <c r="N51" s="7">
        <v>354</v>
      </c>
      <c r="O51" s="7">
        <v>336</v>
      </c>
      <c r="P51" s="7">
        <v>255</v>
      </c>
      <c r="Q51" s="7">
        <v>172</v>
      </c>
      <c r="R51" s="7">
        <v>189</v>
      </c>
      <c r="S51" s="7">
        <v>182</v>
      </c>
      <c r="T51" s="7">
        <v>147</v>
      </c>
      <c r="U51" s="7">
        <v>126</v>
      </c>
      <c r="V51" s="7">
        <v>100</v>
      </c>
      <c r="W51" s="7">
        <v>89</v>
      </c>
      <c r="X51" s="7">
        <v>70</v>
      </c>
      <c r="Y51" s="7">
        <v>167</v>
      </c>
      <c r="Z51" s="7">
        <v>2</v>
      </c>
      <c r="AA51" s="7">
        <v>254</v>
      </c>
      <c r="AB51" s="7">
        <v>304</v>
      </c>
      <c r="AC51" s="7">
        <v>350</v>
      </c>
      <c r="AD51" s="7">
        <v>349</v>
      </c>
      <c r="AE51" s="7">
        <v>251</v>
      </c>
      <c r="AF51" s="7">
        <v>203</v>
      </c>
      <c r="AG51" s="7">
        <v>207</v>
      </c>
      <c r="AH51" s="7">
        <v>149</v>
      </c>
      <c r="AI51" s="7">
        <v>155</v>
      </c>
      <c r="AJ51" s="7">
        <v>102</v>
      </c>
      <c r="AK51" s="7">
        <v>89</v>
      </c>
      <c r="AL51" s="7">
        <v>79</v>
      </c>
      <c r="AM51" s="7">
        <v>65</v>
      </c>
      <c r="AN51" s="7">
        <v>143</v>
      </c>
      <c r="AO51" s="7">
        <v>3</v>
      </c>
      <c r="AP51">
        <v>5283</v>
      </c>
      <c r="AQ51">
        <v>151</v>
      </c>
      <c r="AR51" t="s">
        <v>358</v>
      </c>
      <c r="AS51">
        <v>1</v>
      </c>
      <c r="AT51">
        <v>43</v>
      </c>
      <c r="AU51" s="7">
        <v>793</v>
      </c>
      <c r="AV51" s="7">
        <v>390</v>
      </c>
      <c r="AW51" s="7">
        <v>403</v>
      </c>
      <c r="AX51" s="7">
        <v>518</v>
      </c>
      <c r="AY51" s="7">
        <v>793</v>
      </c>
      <c r="AZ51" s="7">
        <v>793</v>
      </c>
      <c r="BA51" s="7">
        <v>0</v>
      </c>
      <c r="BB51" s="7">
        <v>23</v>
      </c>
      <c r="BC51" s="7">
        <v>15</v>
      </c>
      <c r="BD51" s="7">
        <v>63</v>
      </c>
      <c r="BE51" s="7">
        <v>57</v>
      </c>
      <c r="BF51" s="7">
        <v>61</v>
      </c>
      <c r="BG51" s="7">
        <v>66</v>
      </c>
      <c r="BH51" s="7">
        <v>48</v>
      </c>
      <c r="BI51" s="7">
        <v>64</v>
      </c>
      <c r="BJ51" s="7">
        <v>38</v>
      </c>
      <c r="BK51" s="7">
        <v>37</v>
      </c>
      <c r="BL51" s="7">
        <v>24</v>
      </c>
      <c r="BM51" s="7">
        <v>28</v>
      </c>
      <c r="BN51" s="7">
        <v>29</v>
      </c>
      <c r="BO51" s="7">
        <v>28</v>
      </c>
      <c r="BP51" s="7">
        <v>21</v>
      </c>
      <c r="BQ51" s="7">
        <v>19</v>
      </c>
      <c r="BR51" s="7">
        <v>18</v>
      </c>
      <c r="BS51" s="7">
        <v>18</v>
      </c>
      <c r="BT51" s="7">
        <v>16</v>
      </c>
      <c r="BU51" s="7">
        <v>16</v>
      </c>
      <c r="BV51" s="7">
        <v>16</v>
      </c>
      <c r="BW51" s="7">
        <v>16</v>
      </c>
      <c r="BX51" s="7">
        <v>6</v>
      </c>
      <c r="BY51" s="7">
        <v>10</v>
      </c>
      <c r="BZ51" s="7">
        <v>8</v>
      </c>
      <c r="CA51" s="7">
        <v>8</v>
      </c>
      <c r="CB51" s="7">
        <v>19</v>
      </c>
      <c r="CC51" s="7">
        <v>21</v>
      </c>
      <c r="CD51" s="7">
        <v>296</v>
      </c>
      <c r="CE51" s="7">
        <v>271</v>
      </c>
      <c r="CF51" s="7">
        <v>92</v>
      </c>
      <c r="CG51" s="7">
        <v>130</v>
      </c>
      <c r="CH51" s="7">
        <v>917</v>
      </c>
      <c r="CI51" s="7">
        <v>263</v>
      </c>
      <c r="CJ51" s="7">
        <v>4408</v>
      </c>
      <c r="CK51" s="7">
        <v>1067</v>
      </c>
      <c r="CL51" s="7">
        <v>63</v>
      </c>
      <c r="CM51" s="7">
        <v>115</v>
      </c>
      <c r="CN51" s="7">
        <v>184</v>
      </c>
      <c r="CO51" s="7">
        <v>242</v>
      </c>
      <c r="CP51" s="7">
        <v>231</v>
      </c>
      <c r="CQ51" s="7">
        <v>345</v>
      </c>
      <c r="CR51" s="7">
        <v>949</v>
      </c>
      <c r="CS51" s="7">
        <v>2681</v>
      </c>
      <c r="CT51" s="7">
        <v>275</v>
      </c>
      <c r="CU51" s="7">
        <v>137</v>
      </c>
      <c r="CV51" s="7">
        <v>57</v>
      </c>
      <c r="CW51" s="7">
        <v>147</v>
      </c>
      <c r="CX51" s="7">
        <v>6</v>
      </c>
      <c r="CY51" s="7">
        <v>3372</v>
      </c>
      <c r="CZ51" s="7">
        <v>1735</v>
      </c>
      <c r="DA51" s="7">
        <v>21</v>
      </c>
      <c r="DB51" s="7">
        <v>63</v>
      </c>
      <c r="DC51" s="7">
        <v>0</v>
      </c>
      <c r="DD51" s="7">
        <v>1498</v>
      </c>
      <c r="DE51" s="7">
        <v>527</v>
      </c>
      <c r="DF51" s="7">
        <v>3453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16</v>
      </c>
      <c r="DM51" s="7">
        <v>2</v>
      </c>
      <c r="DN51" s="7">
        <v>3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79</v>
      </c>
      <c r="DU51" s="7">
        <v>67</v>
      </c>
      <c r="DV51" s="7">
        <v>44</v>
      </c>
      <c r="DW51" s="7">
        <v>35</v>
      </c>
      <c r="DX51" s="7">
        <v>25</v>
      </c>
      <c r="DY51" s="7">
        <v>10</v>
      </c>
      <c r="DZ51" s="7">
        <v>10</v>
      </c>
      <c r="EA51" s="7">
        <v>7</v>
      </c>
      <c r="EB51" s="7">
        <v>2</v>
      </c>
      <c r="EC51" s="7">
        <v>0</v>
      </c>
      <c r="ED51" s="7">
        <v>1</v>
      </c>
      <c r="EE51" s="7">
        <v>2</v>
      </c>
      <c r="EF51" s="7">
        <v>7</v>
      </c>
      <c r="EG51" s="7">
        <v>16</v>
      </c>
      <c r="EH51" s="7">
        <v>126</v>
      </c>
      <c r="EI51" s="7">
        <v>76</v>
      </c>
      <c r="EJ51" s="7">
        <v>32</v>
      </c>
      <c r="EK51" s="7">
        <v>13</v>
      </c>
      <c r="EL51" s="7">
        <v>2</v>
      </c>
      <c r="EM51" s="7">
        <v>3</v>
      </c>
      <c r="EN51" s="7">
        <v>17</v>
      </c>
      <c r="EO51" s="7">
        <v>1506</v>
      </c>
      <c r="EP51" s="7">
        <v>1396</v>
      </c>
      <c r="EQ51" s="7">
        <v>110</v>
      </c>
      <c r="ER51" s="7">
        <v>512</v>
      </c>
      <c r="ES51" s="7">
        <v>184</v>
      </c>
      <c r="ET51" s="7">
        <v>178</v>
      </c>
      <c r="EU51" s="7">
        <v>6</v>
      </c>
      <c r="EV51" s="7">
        <v>1802</v>
      </c>
      <c r="EW51" s="134">
        <v>70.012706480000006</v>
      </c>
      <c r="EX51" s="134">
        <v>6.9885641676999999</v>
      </c>
      <c r="EY51" s="134">
        <v>9.2757306225999994</v>
      </c>
      <c r="EZ51" s="134">
        <v>13.087674714</v>
      </c>
      <c r="FA51" s="134">
        <v>0.63532401520000004</v>
      </c>
      <c r="FB51" s="7">
        <v>240</v>
      </c>
      <c r="FC51" s="7">
        <v>923</v>
      </c>
      <c r="FD51" s="7">
        <v>54</v>
      </c>
      <c r="FE51" s="7">
        <v>286</v>
      </c>
      <c r="FF51" s="7">
        <v>0</v>
      </c>
      <c r="FG51" s="7">
        <v>142</v>
      </c>
      <c r="FH51" s="7">
        <v>44</v>
      </c>
      <c r="FI51" s="134">
        <v>40.470139770999999</v>
      </c>
      <c r="FJ51" s="134">
        <v>41.550190596999997</v>
      </c>
      <c r="FK51" s="134">
        <v>13.024142313</v>
      </c>
      <c r="FL51" s="134">
        <v>4.9555273188999998</v>
      </c>
      <c r="FM51" s="151">
        <v>2203</v>
      </c>
      <c r="FN51" s="151">
        <v>549</v>
      </c>
      <c r="FO51" s="7">
        <v>68</v>
      </c>
      <c r="FP51" s="7">
        <v>3</v>
      </c>
      <c r="FQ51" s="7">
        <v>2</v>
      </c>
      <c r="FR51" s="7">
        <v>4</v>
      </c>
      <c r="FS51" s="7">
        <v>2036</v>
      </c>
      <c r="FT51" s="7">
        <v>12</v>
      </c>
      <c r="FU51" s="7">
        <v>78</v>
      </c>
      <c r="FV51" s="7">
        <v>23</v>
      </c>
      <c r="FW51" s="7">
        <v>2221</v>
      </c>
      <c r="FX51" s="7">
        <v>462</v>
      </c>
      <c r="FY51" s="7">
        <v>42</v>
      </c>
      <c r="FZ51" s="7">
        <v>3</v>
      </c>
      <c r="GA51" s="7">
        <v>0</v>
      </c>
      <c r="GB51" s="7">
        <v>2</v>
      </c>
      <c r="GC51" s="7">
        <v>2095</v>
      </c>
      <c r="GD51" s="7">
        <v>13</v>
      </c>
      <c r="GE51" s="7">
        <v>67</v>
      </c>
      <c r="GF51" s="7">
        <v>20</v>
      </c>
      <c r="GG51" s="7">
        <v>194</v>
      </c>
      <c r="GH51" s="7">
        <v>261</v>
      </c>
      <c r="GI51" s="7">
        <v>305</v>
      </c>
      <c r="GJ51" s="7">
        <v>261</v>
      </c>
      <c r="GK51" s="7">
        <v>172</v>
      </c>
      <c r="GL51" s="7">
        <v>129</v>
      </c>
      <c r="GM51" s="7">
        <v>149</v>
      </c>
      <c r="GN51" s="7">
        <v>152</v>
      </c>
      <c r="GO51" s="7">
        <v>112</v>
      </c>
      <c r="GP51" s="7">
        <v>111</v>
      </c>
      <c r="GQ51" s="7">
        <v>85</v>
      </c>
      <c r="GR51" s="7">
        <v>69</v>
      </c>
      <c r="GS51" s="7">
        <v>54</v>
      </c>
      <c r="GT51" s="7">
        <v>40</v>
      </c>
      <c r="GU51" s="7">
        <v>45</v>
      </c>
      <c r="GV51" s="7">
        <v>34</v>
      </c>
      <c r="GW51" s="7">
        <v>14</v>
      </c>
      <c r="GX51" s="7">
        <v>15</v>
      </c>
      <c r="GY51" s="7">
        <v>197</v>
      </c>
      <c r="GZ51" s="7">
        <v>247</v>
      </c>
      <c r="HA51" s="7">
        <v>290</v>
      </c>
      <c r="HB51" s="7">
        <v>252</v>
      </c>
      <c r="HC51" s="7">
        <v>200</v>
      </c>
      <c r="HD51" s="7">
        <v>170</v>
      </c>
      <c r="HE51" s="7">
        <v>171</v>
      </c>
      <c r="HF51" s="7">
        <v>135</v>
      </c>
      <c r="HG51" s="7">
        <v>139</v>
      </c>
      <c r="HH51" s="7">
        <v>87</v>
      </c>
      <c r="HI51" s="7">
        <v>76</v>
      </c>
      <c r="HJ51" s="7">
        <v>67</v>
      </c>
      <c r="HK51" s="7">
        <v>58</v>
      </c>
      <c r="HL51" s="7">
        <v>43</v>
      </c>
      <c r="HM51" s="7">
        <v>39</v>
      </c>
      <c r="HN51" s="7">
        <v>18</v>
      </c>
      <c r="HO51" s="7">
        <v>19</v>
      </c>
      <c r="HP51" s="7">
        <v>12</v>
      </c>
      <c r="HQ51" s="7">
        <v>1177</v>
      </c>
      <c r="HR51" s="7">
        <v>0</v>
      </c>
      <c r="HS51" s="7">
        <v>0</v>
      </c>
      <c r="HT51" s="7">
        <v>0</v>
      </c>
      <c r="HU51" s="7">
        <v>0</v>
      </c>
      <c r="HV51" s="7">
        <v>0</v>
      </c>
      <c r="HW51" s="7">
        <v>0</v>
      </c>
      <c r="HX51" s="7">
        <v>4</v>
      </c>
      <c r="HY51" s="7">
        <v>63</v>
      </c>
      <c r="HZ51" s="7">
        <v>115</v>
      </c>
      <c r="IA51" s="7">
        <v>184</v>
      </c>
      <c r="IB51" s="7">
        <v>242</v>
      </c>
      <c r="IC51" s="7">
        <v>231</v>
      </c>
      <c r="ID51" s="7">
        <v>175</v>
      </c>
      <c r="IE51" s="7">
        <v>59</v>
      </c>
      <c r="IF51" s="7">
        <v>47</v>
      </c>
      <c r="IG51" s="7">
        <v>64</v>
      </c>
      <c r="IH51" s="7">
        <v>68</v>
      </c>
      <c r="II51" s="7">
        <v>273</v>
      </c>
      <c r="IJ51" s="7">
        <v>403</v>
      </c>
      <c r="IK51" s="7">
        <v>285</v>
      </c>
      <c r="IL51" s="7">
        <v>103</v>
      </c>
      <c r="IM51" s="7">
        <v>30</v>
      </c>
      <c r="IN51" s="7">
        <v>3</v>
      </c>
      <c r="IO51" s="7">
        <v>0</v>
      </c>
      <c r="IP51" s="7">
        <v>1</v>
      </c>
      <c r="IQ51" s="7">
        <v>613</v>
      </c>
      <c r="IR51" s="7">
        <v>382</v>
      </c>
      <c r="IS51" s="7">
        <v>121</v>
      </c>
      <c r="IT51" s="7">
        <v>42</v>
      </c>
      <c r="IU51" s="7">
        <v>9</v>
      </c>
      <c r="IV51" s="7">
        <v>571</v>
      </c>
      <c r="IW51" s="7">
        <v>159</v>
      </c>
      <c r="IX51" s="7">
        <v>85</v>
      </c>
      <c r="IY51" s="7">
        <v>14</v>
      </c>
      <c r="IZ51" s="7">
        <v>0</v>
      </c>
      <c r="JA51" s="7">
        <v>347</v>
      </c>
      <c r="JB51" s="7">
        <v>522</v>
      </c>
      <c r="JC51" s="7">
        <v>299</v>
      </c>
      <c r="JD51" s="7">
        <v>124</v>
      </c>
      <c r="JE51" s="7">
        <v>106</v>
      </c>
      <c r="JF51" s="151">
        <v>1097.2382399272733</v>
      </c>
      <c r="JG51" s="151">
        <v>79.313233606999916</v>
      </c>
      <c r="JH51" s="7">
        <v>157</v>
      </c>
      <c r="JI51" s="7">
        <v>1000</v>
      </c>
      <c r="JJ51" s="7">
        <v>19</v>
      </c>
      <c r="JK51" s="7">
        <v>4</v>
      </c>
      <c r="JL51" s="7">
        <v>514</v>
      </c>
      <c r="JM51" s="7">
        <v>225</v>
      </c>
      <c r="JN51" s="7">
        <v>34</v>
      </c>
      <c r="JO51" s="7">
        <v>454</v>
      </c>
      <c r="JP51" s="7">
        <v>781</v>
      </c>
      <c r="JQ51" s="7">
        <v>27</v>
      </c>
      <c r="JR51" s="7">
        <v>35</v>
      </c>
      <c r="JS51" s="7">
        <v>172</v>
      </c>
      <c r="JT51" s="7">
        <v>3</v>
      </c>
      <c r="JU51" s="151">
        <v>76.511407419796114</v>
      </c>
      <c r="JV51" s="151">
        <v>973.52683750765925</v>
      </c>
      <c r="JW51" s="151">
        <v>44.182643721290709</v>
      </c>
      <c r="JX51" s="151">
        <v>3.0173512785271703</v>
      </c>
      <c r="JY51" s="7">
        <v>1094</v>
      </c>
      <c r="JZ51" s="7">
        <v>5460</v>
      </c>
      <c r="KA51" s="7">
        <v>0</v>
      </c>
      <c r="KB51" s="7">
        <v>0</v>
      </c>
      <c r="KC51" s="7">
        <v>0</v>
      </c>
      <c r="KD51" s="7">
        <v>0</v>
      </c>
      <c r="KE51" s="7">
        <v>0</v>
      </c>
      <c r="KF51" s="7">
        <v>0</v>
      </c>
      <c r="KG51" s="7">
        <v>18</v>
      </c>
      <c r="KH51" s="7">
        <v>736</v>
      </c>
      <c r="KI51" s="7">
        <v>4640</v>
      </c>
      <c r="KJ51" s="7">
        <v>73</v>
      </c>
      <c r="KK51" s="7">
        <v>26</v>
      </c>
      <c r="KL51" s="7">
        <v>355</v>
      </c>
      <c r="KM51" s="7">
        <v>4517</v>
      </c>
      <c r="KN51" s="7">
        <v>205</v>
      </c>
      <c r="KO51" s="7">
        <v>14</v>
      </c>
      <c r="KP51" s="7">
        <v>5091</v>
      </c>
      <c r="KQ51" s="7">
        <v>368</v>
      </c>
      <c r="KR51" s="7">
        <v>876</v>
      </c>
      <c r="KS51" s="7">
        <v>876</v>
      </c>
      <c r="KT51" s="7">
        <v>159</v>
      </c>
      <c r="KU51" s="7">
        <v>52</v>
      </c>
      <c r="KV51" s="7">
        <v>157</v>
      </c>
      <c r="KW51" s="7">
        <v>0</v>
      </c>
      <c r="KX51" s="7">
        <v>148</v>
      </c>
      <c r="KY51" s="7">
        <v>54</v>
      </c>
      <c r="KZ51" s="7">
        <v>146</v>
      </c>
      <c r="LA51" s="7">
        <v>0</v>
      </c>
      <c r="LB51" s="7">
        <v>466</v>
      </c>
      <c r="LC51" s="7">
        <v>459</v>
      </c>
      <c r="LD51" s="7">
        <v>308</v>
      </c>
      <c r="LE51" s="7">
        <v>487</v>
      </c>
      <c r="LF51" s="7">
        <v>3625</v>
      </c>
      <c r="LG51" s="7">
        <v>8</v>
      </c>
      <c r="LH51" s="7">
        <v>905</v>
      </c>
      <c r="LI51" s="7">
        <v>100</v>
      </c>
      <c r="LJ51" s="7">
        <v>285</v>
      </c>
      <c r="LK51" s="7">
        <v>0</v>
      </c>
      <c r="LL51" s="7">
        <v>205</v>
      </c>
      <c r="LM51" s="7">
        <v>57</v>
      </c>
      <c r="LN51" s="7">
        <v>11</v>
      </c>
      <c r="LO51" s="7">
        <v>810</v>
      </c>
      <c r="LP51" s="7">
        <v>91</v>
      </c>
      <c r="LQ51" s="7">
        <v>258</v>
      </c>
      <c r="LR51" s="7">
        <v>0</v>
      </c>
      <c r="LS51" s="7">
        <v>168</v>
      </c>
      <c r="LT51" s="7">
        <v>43</v>
      </c>
      <c r="LU51" s="232">
        <v>5.2289590255</v>
      </c>
      <c r="LV51" s="232">
        <v>5.5470974807999998</v>
      </c>
      <c r="LW51" s="232">
        <v>4.9036954087</v>
      </c>
      <c r="LX51" s="7">
        <v>1180</v>
      </c>
      <c r="LY51" s="7">
        <v>5475</v>
      </c>
    </row>
    <row r="52" spans="1:337" x14ac:dyDescent="0.25">
      <c r="A52" t="s">
        <v>128</v>
      </c>
      <c r="B52" t="s">
        <v>129</v>
      </c>
      <c r="C52" s="7">
        <v>34937</v>
      </c>
      <c r="D52">
        <v>37818</v>
      </c>
      <c r="F52">
        <f t="shared" si="2"/>
        <v>-37818</v>
      </c>
      <c r="G52">
        <f t="shared" si="3"/>
        <v>-100</v>
      </c>
      <c r="H52">
        <v>18758</v>
      </c>
      <c r="I52">
        <v>19060</v>
      </c>
      <c r="J52">
        <v>12494</v>
      </c>
      <c r="K52">
        <v>25324</v>
      </c>
      <c r="L52" s="7">
        <v>1804</v>
      </c>
      <c r="M52" s="7">
        <v>1874</v>
      </c>
      <c r="N52" s="7">
        <v>1971</v>
      </c>
      <c r="O52" s="7">
        <v>1934</v>
      </c>
      <c r="P52" s="7">
        <v>1445</v>
      </c>
      <c r="Q52" s="7">
        <v>1171</v>
      </c>
      <c r="R52" s="7">
        <v>1174</v>
      </c>
      <c r="S52" s="7">
        <v>1293</v>
      </c>
      <c r="T52" s="7">
        <v>1100</v>
      </c>
      <c r="U52" s="7">
        <v>926</v>
      </c>
      <c r="V52" s="7">
        <v>819</v>
      </c>
      <c r="W52" s="7">
        <v>758</v>
      </c>
      <c r="X52" s="7">
        <v>706</v>
      </c>
      <c r="Y52" s="7">
        <v>1777</v>
      </c>
      <c r="Z52" s="7">
        <v>6</v>
      </c>
      <c r="AA52" s="7">
        <v>1756</v>
      </c>
      <c r="AB52" s="7">
        <v>1839</v>
      </c>
      <c r="AC52" s="7">
        <v>1899</v>
      </c>
      <c r="AD52" s="7">
        <v>1883</v>
      </c>
      <c r="AE52" s="7">
        <v>1615</v>
      </c>
      <c r="AF52" s="7">
        <v>1387</v>
      </c>
      <c r="AG52" s="7">
        <v>1406</v>
      </c>
      <c r="AH52" s="7">
        <v>1326</v>
      </c>
      <c r="AI52" s="7">
        <v>1102</v>
      </c>
      <c r="AJ52" s="7">
        <v>961</v>
      </c>
      <c r="AK52" s="7">
        <v>853</v>
      </c>
      <c r="AL52" s="7">
        <v>712</v>
      </c>
      <c r="AM52" s="7">
        <v>671</v>
      </c>
      <c r="AN52" s="7">
        <v>1642</v>
      </c>
      <c r="AO52" s="7">
        <v>8</v>
      </c>
      <c r="AP52">
        <v>37123</v>
      </c>
      <c r="AQ52">
        <v>630</v>
      </c>
      <c r="AR52">
        <v>15</v>
      </c>
      <c r="AS52">
        <v>5</v>
      </c>
      <c r="AT52">
        <v>45</v>
      </c>
      <c r="AU52" s="7">
        <v>2005</v>
      </c>
      <c r="AV52" s="7">
        <v>1008</v>
      </c>
      <c r="AW52" s="7">
        <v>997</v>
      </c>
      <c r="AX52" s="7">
        <v>1543</v>
      </c>
      <c r="AY52" s="7">
        <v>2005</v>
      </c>
      <c r="AZ52" s="7">
        <v>1936</v>
      </c>
      <c r="BA52" s="7">
        <v>69</v>
      </c>
      <c r="BB52" s="7">
        <v>45</v>
      </c>
      <c r="BC52" s="7">
        <v>54</v>
      </c>
      <c r="BD52" s="7">
        <v>143</v>
      </c>
      <c r="BE52" s="7">
        <v>166</v>
      </c>
      <c r="BF52" s="7">
        <v>175</v>
      </c>
      <c r="BG52" s="7">
        <v>137</v>
      </c>
      <c r="BH52" s="7">
        <v>144</v>
      </c>
      <c r="BI52" s="7">
        <v>125</v>
      </c>
      <c r="BJ52" s="7">
        <v>85</v>
      </c>
      <c r="BK52" s="7">
        <v>96</v>
      </c>
      <c r="BL52" s="7">
        <v>89</v>
      </c>
      <c r="BM52" s="7">
        <v>95</v>
      </c>
      <c r="BN52" s="7">
        <v>64</v>
      </c>
      <c r="BO52" s="7">
        <v>76</v>
      </c>
      <c r="BP52" s="7">
        <v>61</v>
      </c>
      <c r="BQ52" s="7">
        <v>68</v>
      </c>
      <c r="BR52" s="7">
        <v>36</v>
      </c>
      <c r="BS52" s="7">
        <v>31</v>
      </c>
      <c r="BT52" s="7">
        <v>33</v>
      </c>
      <c r="BU52" s="7">
        <v>40</v>
      </c>
      <c r="BV52" s="7">
        <v>33</v>
      </c>
      <c r="BW52" s="7">
        <v>33</v>
      </c>
      <c r="BX52" s="7">
        <v>28</v>
      </c>
      <c r="BY52" s="7">
        <v>32</v>
      </c>
      <c r="BZ52" s="7">
        <v>28</v>
      </c>
      <c r="CA52" s="7">
        <v>10</v>
      </c>
      <c r="CB52" s="7">
        <v>44</v>
      </c>
      <c r="CC52" s="7">
        <v>34</v>
      </c>
      <c r="CD52" s="7">
        <v>944</v>
      </c>
      <c r="CE52" s="7">
        <v>929</v>
      </c>
      <c r="CF52" s="7">
        <v>24</v>
      </c>
      <c r="CG52" s="7">
        <v>30</v>
      </c>
      <c r="CH52" s="7">
        <v>7968</v>
      </c>
      <c r="CI52" s="7">
        <v>1658</v>
      </c>
      <c r="CJ52" s="7">
        <v>32567</v>
      </c>
      <c r="CK52" s="7">
        <v>5248</v>
      </c>
      <c r="CL52" s="7">
        <v>802</v>
      </c>
      <c r="CM52" s="7">
        <v>1607</v>
      </c>
      <c r="CN52" s="7">
        <v>1826</v>
      </c>
      <c r="CO52" s="7">
        <v>2180</v>
      </c>
      <c r="CP52" s="7">
        <v>1552</v>
      </c>
      <c r="CQ52" s="7">
        <v>1659</v>
      </c>
      <c r="CR52" s="7">
        <v>7242</v>
      </c>
      <c r="CS52" s="7">
        <v>15606</v>
      </c>
      <c r="CT52" s="7">
        <v>2969</v>
      </c>
      <c r="CU52" s="7">
        <v>908</v>
      </c>
      <c r="CV52" s="7">
        <v>290</v>
      </c>
      <c r="CW52" s="7">
        <v>1026</v>
      </c>
      <c r="CX52" s="7">
        <v>40</v>
      </c>
      <c r="CY52" s="7">
        <v>23265</v>
      </c>
      <c r="CZ52" s="7">
        <v>13088</v>
      </c>
      <c r="DA52" s="7">
        <v>135</v>
      </c>
      <c r="DB52" s="7">
        <v>802</v>
      </c>
      <c r="DC52" s="7">
        <v>9</v>
      </c>
      <c r="DD52" s="7">
        <v>4030</v>
      </c>
      <c r="DE52" s="7">
        <v>4521</v>
      </c>
      <c r="DF52" s="7">
        <v>16773</v>
      </c>
      <c r="DG52" s="7">
        <v>2600</v>
      </c>
      <c r="DH52" s="7">
        <v>9894</v>
      </c>
      <c r="DI52" s="7">
        <v>0</v>
      </c>
      <c r="DJ52" s="7">
        <v>0</v>
      </c>
      <c r="DK52" s="7">
        <v>0</v>
      </c>
      <c r="DL52" s="7">
        <v>347</v>
      </c>
      <c r="DM52" s="7">
        <v>11</v>
      </c>
      <c r="DN52" s="7">
        <v>16</v>
      </c>
      <c r="DO52" s="7">
        <v>1</v>
      </c>
      <c r="DP52" s="7">
        <v>1</v>
      </c>
      <c r="DQ52" s="7">
        <v>0</v>
      </c>
      <c r="DR52" s="7">
        <v>0</v>
      </c>
      <c r="DS52" s="7">
        <v>0</v>
      </c>
      <c r="DT52" s="7">
        <v>382</v>
      </c>
      <c r="DU52" s="7">
        <v>395</v>
      </c>
      <c r="DV52" s="7">
        <v>156</v>
      </c>
      <c r="DW52" s="7">
        <v>129</v>
      </c>
      <c r="DX52" s="7">
        <v>70</v>
      </c>
      <c r="DY52" s="7">
        <v>62</v>
      </c>
      <c r="DZ52" s="7">
        <v>80</v>
      </c>
      <c r="EA52" s="7">
        <v>60</v>
      </c>
      <c r="EB52" s="7">
        <v>33</v>
      </c>
      <c r="EC52" s="7">
        <v>26</v>
      </c>
      <c r="ED52" s="7">
        <v>37</v>
      </c>
      <c r="EE52" s="7">
        <v>21</v>
      </c>
      <c r="EF52" s="7">
        <v>73</v>
      </c>
      <c r="EG52" s="7">
        <v>60</v>
      </c>
      <c r="EH52" s="7">
        <v>510</v>
      </c>
      <c r="EI52" s="7">
        <v>200</v>
      </c>
      <c r="EJ52" s="7">
        <v>82</v>
      </c>
      <c r="EK52" s="7">
        <v>77</v>
      </c>
      <c r="EL52" s="7">
        <v>33</v>
      </c>
      <c r="EM52" s="7">
        <v>30</v>
      </c>
      <c r="EN52" s="7">
        <v>67</v>
      </c>
      <c r="EO52" s="7">
        <v>10970</v>
      </c>
      <c r="EP52" s="7">
        <v>10801</v>
      </c>
      <c r="EQ52" s="7">
        <v>169</v>
      </c>
      <c r="ER52" s="7">
        <v>3221</v>
      </c>
      <c r="ES52" s="7">
        <v>2032</v>
      </c>
      <c r="ET52" s="7">
        <v>2007</v>
      </c>
      <c r="EU52" s="7">
        <v>25</v>
      </c>
      <c r="EV52" s="7">
        <v>12614</v>
      </c>
      <c r="EW52" s="134">
        <v>52.171576967999997</v>
      </c>
      <c r="EX52" s="134">
        <v>12.930957285</v>
      </c>
      <c r="EY52" s="134">
        <v>9.3937494403000006</v>
      </c>
      <c r="EZ52" s="134">
        <v>24.876869347</v>
      </c>
      <c r="FA52" s="134">
        <v>0.62684695980000005</v>
      </c>
      <c r="FB52" s="7">
        <v>1303</v>
      </c>
      <c r="FC52" s="7">
        <v>5664</v>
      </c>
      <c r="FD52" s="7">
        <v>458</v>
      </c>
      <c r="FE52" s="7">
        <v>2371</v>
      </c>
      <c r="FF52" s="7">
        <v>12</v>
      </c>
      <c r="FG52" s="7">
        <v>1808</v>
      </c>
      <c r="FH52" s="7">
        <v>1359</v>
      </c>
      <c r="FI52" s="134">
        <v>41.900241784000002</v>
      </c>
      <c r="FJ52" s="134">
        <v>30.160293722999999</v>
      </c>
      <c r="FK52" s="134">
        <v>21.975463419</v>
      </c>
      <c r="FL52" s="134">
        <v>5.9640010745999996</v>
      </c>
      <c r="FM52" s="151">
        <v>11754</v>
      </c>
      <c r="FN52" s="151">
        <v>6968</v>
      </c>
      <c r="FO52" s="7">
        <v>1804</v>
      </c>
      <c r="FP52" s="7">
        <v>760</v>
      </c>
      <c r="FQ52" s="7">
        <v>440</v>
      </c>
      <c r="FR52" s="7">
        <v>136</v>
      </c>
      <c r="FS52" s="7">
        <v>8597</v>
      </c>
      <c r="FT52" s="7">
        <v>47</v>
      </c>
      <c r="FU52" s="7">
        <v>141</v>
      </c>
      <c r="FV52" s="7">
        <v>36</v>
      </c>
      <c r="FW52" s="7">
        <v>12675</v>
      </c>
      <c r="FX52" s="7">
        <v>6332</v>
      </c>
      <c r="FY52" s="7">
        <v>1901</v>
      </c>
      <c r="FZ52" s="7">
        <v>881</v>
      </c>
      <c r="GA52" s="7">
        <v>521</v>
      </c>
      <c r="GB52" s="7">
        <v>116</v>
      </c>
      <c r="GC52" s="7">
        <v>9235</v>
      </c>
      <c r="GD52" s="7">
        <v>31</v>
      </c>
      <c r="GE52" s="7">
        <v>163</v>
      </c>
      <c r="GF52" s="7">
        <v>53</v>
      </c>
      <c r="GG52" s="7">
        <v>1079</v>
      </c>
      <c r="GH52" s="7">
        <v>1237</v>
      </c>
      <c r="GI52" s="7">
        <v>1324</v>
      </c>
      <c r="GJ52" s="7">
        <v>1225</v>
      </c>
      <c r="GK52" s="7">
        <v>711</v>
      </c>
      <c r="GL52" s="7">
        <v>638</v>
      </c>
      <c r="GM52" s="7">
        <v>717</v>
      </c>
      <c r="GN52" s="7">
        <v>825</v>
      </c>
      <c r="GO52" s="7">
        <v>708</v>
      </c>
      <c r="GP52" s="7">
        <v>610</v>
      </c>
      <c r="GQ52" s="7">
        <v>543</v>
      </c>
      <c r="GR52" s="7">
        <v>497</v>
      </c>
      <c r="GS52" s="7">
        <v>435</v>
      </c>
      <c r="GT52" s="7">
        <v>397</v>
      </c>
      <c r="GU52" s="7">
        <v>363</v>
      </c>
      <c r="GV52" s="7">
        <v>202</v>
      </c>
      <c r="GW52" s="7">
        <v>129</v>
      </c>
      <c r="GX52" s="7">
        <v>111</v>
      </c>
      <c r="GY52" s="7">
        <v>1038</v>
      </c>
      <c r="GZ52" s="7">
        <v>1223</v>
      </c>
      <c r="HA52" s="7">
        <v>1287</v>
      </c>
      <c r="HB52" s="7">
        <v>1178</v>
      </c>
      <c r="HC52" s="7">
        <v>958</v>
      </c>
      <c r="HD52" s="7">
        <v>910</v>
      </c>
      <c r="HE52" s="7">
        <v>972</v>
      </c>
      <c r="HF52" s="7">
        <v>924</v>
      </c>
      <c r="HG52" s="7">
        <v>778</v>
      </c>
      <c r="HH52" s="7">
        <v>699</v>
      </c>
      <c r="HI52" s="7">
        <v>601</v>
      </c>
      <c r="HJ52" s="7">
        <v>492</v>
      </c>
      <c r="HK52" s="7">
        <v>461</v>
      </c>
      <c r="HL52" s="7">
        <v>401</v>
      </c>
      <c r="HM52" s="7">
        <v>348</v>
      </c>
      <c r="HN52" s="7">
        <v>189</v>
      </c>
      <c r="HO52" s="7">
        <v>109</v>
      </c>
      <c r="HP52" s="7">
        <v>104</v>
      </c>
      <c r="HQ52" s="7">
        <v>9610</v>
      </c>
      <c r="HR52" s="7">
        <v>13</v>
      </c>
      <c r="HS52" s="7">
        <v>0</v>
      </c>
      <c r="HT52" s="7">
        <v>0</v>
      </c>
      <c r="HU52" s="7">
        <v>1</v>
      </c>
      <c r="HV52" s="7">
        <v>1</v>
      </c>
      <c r="HW52" s="7">
        <v>0</v>
      </c>
      <c r="HX52" s="7">
        <v>2</v>
      </c>
      <c r="HY52" s="7">
        <v>802</v>
      </c>
      <c r="HZ52" s="7">
        <v>1607</v>
      </c>
      <c r="IA52" s="7">
        <v>1825</v>
      </c>
      <c r="IB52" s="7">
        <v>2180</v>
      </c>
      <c r="IC52" s="7">
        <v>1552</v>
      </c>
      <c r="ID52" s="7">
        <v>811</v>
      </c>
      <c r="IE52" s="7">
        <v>375</v>
      </c>
      <c r="IF52" s="7">
        <v>214</v>
      </c>
      <c r="IG52" s="7">
        <v>258</v>
      </c>
      <c r="IH52" s="7">
        <v>762</v>
      </c>
      <c r="II52" s="7">
        <v>2258</v>
      </c>
      <c r="IJ52" s="7">
        <v>2788</v>
      </c>
      <c r="IK52" s="7">
        <v>2184</v>
      </c>
      <c r="IL52" s="7">
        <v>1021</v>
      </c>
      <c r="IM52" s="7">
        <v>386</v>
      </c>
      <c r="IN52" s="7">
        <v>121</v>
      </c>
      <c r="IO52" s="7">
        <v>42</v>
      </c>
      <c r="IP52" s="7">
        <v>35</v>
      </c>
      <c r="IQ52" s="7">
        <v>4944</v>
      </c>
      <c r="IR52" s="7">
        <v>3413</v>
      </c>
      <c r="IS52" s="7">
        <v>995</v>
      </c>
      <c r="IT52" s="7">
        <v>200</v>
      </c>
      <c r="IU52" s="7">
        <v>52</v>
      </c>
      <c r="IV52" s="7">
        <v>2298</v>
      </c>
      <c r="IW52" s="7">
        <v>4889</v>
      </c>
      <c r="IX52" s="7">
        <v>122</v>
      </c>
      <c r="IY52" s="7">
        <v>243</v>
      </c>
      <c r="IZ52" s="7">
        <v>100</v>
      </c>
      <c r="JA52" s="7">
        <v>1955</v>
      </c>
      <c r="JB52" s="7">
        <v>4156</v>
      </c>
      <c r="JC52" s="7">
        <v>4344</v>
      </c>
      <c r="JD52" s="7">
        <v>136</v>
      </c>
      <c r="JE52" s="7">
        <v>201</v>
      </c>
      <c r="JF52" s="151">
        <v>8847.5706409416707</v>
      </c>
      <c r="JG52" s="151">
        <v>760.35600035943173</v>
      </c>
      <c r="JH52" s="7">
        <v>1145</v>
      </c>
      <c r="JI52" s="7">
        <v>8042</v>
      </c>
      <c r="JJ52" s="7">
        <v>410</v>
      </c>
      <c r="JK52" s="7">
        <v>27</v>
      </c>
      <c r="JL52" s="7">
        <v>6465</v>
      </c>
      <c r="JM52" s="7">
        <v>4111</v>
      </c>
      <c r="JN52" s="7">
        <v>1535</v>
      </c>
      <c r="JO52" s="7">
        <v>6443</v>
      </c>
      <c r="JP52" s="7">
        <v>8361</v>
      </c>
      <c r="JQ52" s="7">
        <v>668</v>
      </c>
      <c r="JR52" s="7">
        <v>1172</v>
      </c>
      <c r="JS52" s="7">
        <v>2257</v>
      </c>
      <c r="JT52" s="7">
        <v>208</v>
      </c>
      <c r="JU52" s="151">
        <v>1308.1585155162772</v>
      </c>
      <c r="JV52" s="151">
        <v>7384.8971966613572</v>
      </c>
      <c r="JW52" s="151">
        <v>132.11408241933214</v>
      </c>
      <c r="JX52" s="151">
        <v>22.400846344703716</v>
      </c>
      <c r="JY52" s="7">
        <v>9361</v>
      </c>
      <c r="JZ52" s="7">
        <v>37755</v>
      </c>
      <c r="KA52" s="7">
        <v>49</v>
      </c>
      <c r="KB52" s="7">
        <v>0</v>
      </c>
      <c r="KC52" s="7">
        <v>0</v>
      </c>
      <c r="KD52" s="7">
        <v>3</v>
      </c>
      <c r="KE52" s="7">
        <v>7</v>
      </c>
      <c r="KF52" s="7">
        <v>0</v>
      </c>
      <c r="KG52" s="7">
        <v>4</v>
      </c>
      <c r="KH52" s="7">
        <v>4936</v>
      </c>
      <c r="KI52" s="7">
        <v>31207</v>
      </c>
      <c r="KJ52" s="7">
        <v>1540</v>
      </c>
      <c r="KK52" s="7">
        <v>122</v>
      </c>
      <c r="KL52" s="7">
        <v>5139</v>
      </c>
      <c r="KM52" s="7">
        <v>29011</v>
      </c>
      <c r="KN52" s="7">
        <v>519</v>
      </c>
      <c r="KO52" s="7">
        <v>88</v>
      </c>
      <c r="KP52" s="7">
        <v>34757</v>
      </c>
      <c r="KQ52" s="7">
        <v>2987</v>
      </c>
      <c r="KR52" s="7">
        <v>5400</v>
      </c>
      <c r="KS52" s="7">
        <v>5400</v>
      </c>
      <c r="KT52" s="7">
        <v>1014</v>
      </c>
      <c r="KU52" s="7">
        <v>359</v>
      </c>
      <c r="KV52" s="7">
        <v>976</v>
      </c>
      <c r="KW52" s="7">
        <v>0</v>
      </c>
      <c r="KX52" s="7">
        <v>985</v>
      </c>
      <c r="KY52" s="7">
        <v>320</v>
      </c>
      <c r="KZ52" s="7">
        <v>1006</v>
      </c>
      <c r="LA52" s="7">
        <v>1</v>
      </c>
      <c r="LB52" s="7">
        <v>2897</v>
      </c>
      <c r="LC52" s="7">
        <v>2879</v>
      </c>
      <c r="LD52" s="7">
        <v>1537</v>
      </c>
      <c r="LE52" s="7">
        <v>2004</v>
      </c>
      <c r="LF52" s="7">
        <v>26661</v>
      </c>
      <c r="LG52" s="7">
        <v>59</v>
      </c>
      <c r="LH52" s="7">
        <v>5475</v>
      </c>
      <c r="LI52" s="7">
        <v>662</v>
      </c>
      <c r="LJ52" s="7">
        <v>2340</v>
      </c>
      <c r="LK52" s="7">
        <v>5</v>
      </c>
      <c r="LL52" s="7">
        <v>2063</v>
      </c>
      <c r="LM52" s="7">
        <v>1115</v>
      </c>
      <c r="LN52" s="7">
        <v>66</v>
      </c>
      <c r="LO52" s="7">
        <v>5968</v>
      </c>
      <c r="LP52" s="7">
        <v>649</v>
      </c>
      <c r="LQ52" s="7">
        <v>2368</v>
      </c>
      <c r="LR52" s="7">
        <v>15</v>
      </c>
      <c r="LS52" s="7">
        <v>1803</v>
      </c>
      <c r="LT52" s="7">
        <v>890</v>
      </c>
      <c r="LU52" s="232">
        <v>6.5038748025000004</v>
      </c>
      <c r="LV52" s="232">
        <v>6.7630491352000002</v>
      </c>
      <c r="LW52" s="232">
        <v>6.2533293874</v>
      </c>
      <c r="LX52" s="7">
        <v>9624</v>
      </c>
      <c r="LY52" s="7">
        <v>37805</v>
      </c>
    </row>
    <row r="53" spans="1:337" x14ac:dyDescent="0.25">
      <c r="A53" t="s">
        <v>130</v>
      </c>
      <c r="B53" t="s">
        <v>131</v>
      </c>
      <c r="C53" s="7">
        <v>13076</v>
      </c>
      <c r="D53">
        <v>18683</v>
      </c>
      <c r="F53">
        <f t="shared" si="2"/>
        <v>-18683</v>
      </c>
      <c r="G53">
        <f t="shared" si="3"/>
        <v>-100</v>
      </c>
      <c r="H53">
        <v>9448</v>
      </c>
      <c r="I53">
        <v>9235</v>
      </c>
      <c r="J53">
        <v>7006</v>
      </c>
      <c r="K53">
        <v>11677</v>
      </c>
      <c r="L53" s="7">
        <v>1471</v>
      </c>
      <c r="M53" s="7">
        <v>1411</v>
      </c>
      <c r="N53" s="7">
        <v>1317</v>
      </c>
      <c r="O53" s="7">
        <v>1109</v>
      </c>
      <c r="P53" s="7">
        <v>916</v>
      </c>
      <c r="Q53" s="7">
        <v>648</v>
      </c>
      <c r="R53" s="7">
        <v>543</v>
      </c>
      <c r="S53" s="7">
        <v>438</v>
      </c>
      <c r="T53" s="7">
        <v>310</v>
      </c>
      <c r="U53" s="7">
        <v>288</v>
      </c>
      <c r="V53" s="7">
        <v>239</v>
      </c>
      <c r="W53" s="7">
        <v>205</v>
      </c>
      <c r="X53" s="7">
        <v>178</v>
      </c>
      <c r="Y53" s="7">
        <v>326</v>
      </c>
      <c r="Z53" s="7">
        <v>49</v>
      </c>
      <c r="AA53" s="7">
        <v>1410</v>
      </c>
      <c r="AB53" s="7">
        <v>1279</v>
      </c>
      <c r="AC53" s="7">
        <v>1251</v>
      </c>
      <c r="AD53" s="7">
        <v>1074</v>
      </c>
      <c r="AE53" s="7">
        <v>912</v>
      </c>
      <c r="AF53" s="7">
        <v>705</v>
      </c>
      <c r="AG53" s="7">
        <v>549</v>
      </c>
      <c r="AH53" s="7">
        <v>443</v>
      </c>
      <c r="AI53" s="7">
        <v>339</v>
      </c>
      <c r="AJ53" s="7">
        <v>323</v>
      </c>
      <c r="AK53" s="7">
        <v>235</v>
      </c>
      <c r="AL53" s="7">
        <v>208</v>
      </c>
      <c r="AM53" s="7">
        <v>143</v>
      </c>
      <c r="AN53" s="7">
        <v>316</v>
      </c>
      <c r="AO53" s="7">
        <v>48</v>
      </c>
      <c r="AP53">
        <v>18465</v>
      </c>
      <c r="AQ53">
        <v>46</v>
      </c>
      <c r="AR53">
        <v>2</v>
      </c>
      <c r="AS53" t="s">
        <v>358</v>
      </c>
      <c r="AT53">
        <v>170</v>
      </c>
      <c r="AU53" s="7">
        <v>12339</v>
      </c>
      <c r="AV53" s="7">
        <v>6295</v>
      </c>
      <c r="AW53" s="7">
        <v>6044</v>
      </c>
      <c r="AX53" s="7">
        <v>7886</v>
      </c>
      <c r="AY53" s="7">
        <v>12339</v>
      </c>
      <c r="AZ53" s="7">
        <v>9183</v>
      </c>
      <c r="BA53" s="7">
        <v>3156</v>
      </c>
      <c r="BB53" s="7">
        <v>458</v>
      </c>
      <c r="BC53" s="7">
        <v>416</v>
      </c>
      <c r="BD53" s="7">
        <v>1077</v>
      </c>
      <c r="BE53" s="7">
        <v>998</v>
      </c>
      <c r="BF53" s="7">
        <v>994</v>
      </c>
      <c r="BG53" s="7">
        <v>955</v>
      </c>
      <c r="BH53" s="7">
        <v>846</v>
      </c>
      <c r="BI53" s="7">
        <v>777</v>
      </c>
      <c r="BJ53" s="7">
        <v>682</v>
      </c>
      <c r="BK53" s="7">
        <v>667</v>
      </c>
      <c r="BL53" s="7">
        <v>489</v>
      </c>
      <c r="BM53" s="7">
        <v>503</v>
      </c>
      <c r="BN53" s="7">
        <v>391</v>
      </c>
      <c r="BO53" s="7">
        <v>385</v>
      </c>
      <c r="BP53" s="7">
        <v>290</v>
      </c>
      <c r="BQ53" s="7">
        <v>283</v>
      </c>
      <c r="BR53" s="7">
        <v>219</v>
      </c>
      <c r="BS53" s="7">
        <v>233</v>
      </c>
      <c r="BT53" s="7">
        <v>191</v>
      </c>
      <c r="BU53" s="7">
        <v>226</v>
      </c>
      <c r="BV53" s="7">
        <v>168</v>
      </c>
      <c r="BW53" s="7">
        <v>152</v>
      </c>
      <c r="BX53" s="7">
        <v>146</v>
      </c>
      <c r="BY53" s="7">
        <v>136</v>
      </c>
      <c r="BZ53" s="7">
        <v>116</v>
      </c>
      <c r="CA53" s="7">
        <v>101</v>
      </c>
      <c r="CB53" s="7">
        <v>228</v>
      </c>
      <c r="CC53" s="7">
        <v>212</v>
      </c>
      <c r="CD53" s="7">
        <v>5379</v>
      </c>
      <c r="CE53" s="7">
        <v>4637</v>
      </c>
      <c r="CF53" s="7">
        <v>872</v>
      </c>
      <c r="CG53" s="7">
        <v>1363</v>
      </c>
      <c r="CH53" s="7">
        <v>3340</v>
      </c>
      <c r="CI53" s="7">
        <v>480</v>
      </c>
      <c r="CJ53" s="7">
        <v>16920</v>
      </c>
      <c r="CK53" s="7">
        <v>1660</v>
      </c>
      <c r="CL53" s="7">
        <v>166</v>
      </c>
      <c r="CM53" s="7">
        <v>436</v>
      </c>
      <c r="CN53" s="7">
        <v>579</v>
      </c>
      <c r="CO53" s="7">
        <v>671</v>
      </c>
      <c r="CP53" s="7">
        <v>627</v>
      </c>
      <c r="CQ53" s="7">
        <v>1341</v>
      </c>
      <c r="CR53" s="7">
        <v>3205</v>
      </c>
      <c r="CS53" s="7">
        <v>10282</v>
      </c>
      <c r="CT53" s="7">
        <v>612</v>
      </c>
      <c r="CU53" s="7">
        <v>265</v>
      </c>
      <c r="CV53" s="7">
        <v>88</v>
      </c>
      <c r="CW53" s="7">
        <v>219</v>
      </c>
      <c r="CX53" s="7">
        <v>22</v>
      </c>
      <c r="CY53" s="7">
        <v>14150</v>
      </c>
      <c r="CZ53" s="7">
        <v>3820</v>
      </c>
      <c r="DA53" s="7">
        <v>79</v>
      </c>
      <c r="DB53" s="7">
        <v>166</v>
      </c>
      <c r="DC53" s="7">
        <v>7</v>
      </c>
      <c r="DD53" s="7">
        <v>2844</v>
      </c>
      <c r="DE53" s="7">
        <v>2639</v>
      </c>
      <c r="DF53" s="7">
        <v>6194</v>
      </c>
      <c r="DG53" s="7">
        <v>7006</v>
      </c>
      <c r="DH53" s="7">
        <v>0</v>
      </c>
      <c r="DI53" s="7">
        <v>0</v>
      </c>
      <c r="DJ53" s="7">
        <v>0</v>
      </c>
      <c r="DK53" s="7">
        <v>0</v>
      </c>
      <c r="DL53" s="7">
        <v>35</v>
      </c>
      <c r="DM53" s="7">
        <v>7</v>
      </c>
      <c r="DN53" s="7">
        <v>6</v>
      </c>
      <c r="DO53" s="7">
        <v>2</v>
      </c>
      <c r="DP53" s="7">
        <v>0</v>
      </c>
      <c r="DQ53" s="7">
        <v>0</v>
      </c>
      <c r="DR53" s="7">
        <v>0</v>
      </c>
      <c r="DS53" s="7">
        <v>0</v>
      </c>
      <c r="DT53" s="7">
        <v>100</v>
      </c>
      <c r="DU53" s="7">
        <v>84</v>
      </c>
      <c r="DV53" s="7">
        <v>65</v>
      </c>
      <c r="DW53" s="7">
        <v>64</v>
      </c>
      <c r="DX53" s="7">
        <v>36</v>
      </c>
      <c r="DY53" s="7">
        <v>29</v>
      </c>
      <c r="DZ53" s="7">
        <v>39</v>
      </c>
      <c r="EA53" s="7">
        <v>19</v>
      </c>
      <c r="EB53" s="7">
        <v>7</v>
      </c>
      <c r="EC53" s="7">
        <v>6</v>
      </c>
      <c r="ED53" s="7">
        <v>9</v>
      </c>
      <c r="EE53" s="7">
        <v>8</v>
      </c>
      <c r="EF53" s="7">
        <v>25</v>
      </c>
      <c r="EG53" s="7">
        <v>13</v>
      </c>
      <c r="EH53" s="7">
        <v>74</v>
      </c>
      <c r="EI53" s="7">
        <v>35</v>
      </c>
      <c r="EJ53" s="7">
        <v>26</v>
      </c>
      <c r="EK53" s="7">
        <v>25</v>
      </c>
      <c r="EL53" s="7">
        <v>12</v>
      </c>
      <c r="EM53" s="7">
        <v>9</v>
      </c>
      <c r="EN53" s="7">
        <v>25</v>
      </c>
      <c r="EO53" s="7">
        <v>4527</v>
      </c>
      <c r="EP53" s="7">
        <v>4492</v>
      </c>
      <c r="EQ53" s="7">
        <v>35</v>
      </c>
      <c r="ER53" s="7">
        <v>1445</v>
      </c>
      <c r="ES53" s="7">
        <v>487</v>
      </c>
      <c r="ET53" s="7">
        <v>477</v>
      </c>
      <c r="EU53" s="7">
        <v>10</v>
      </c>
      <c r="EV53" s="7">
        <v>5426</v>
      </c>
      <c r="EW53" s="134">
        <v>66.720911310000005</v>
      </c>
      <c r="EX53" s="134">
        <v>10.211554109</v>
      </c>
      <c r="EY53" s="134">
        <v>7.9739625712000004</v>
      </c>
      <c r="EZ53" s="134">
        <v>14.788445891</v>
      </c>
      <c r="FA53" s="134">
        <v>0.30512611880000001</v>
      </c>
      <c r="FB53" s="7">
        <v>729</v>
      </c>
      <c r="FC53" s="7">
        <v>2147</v>
      </c>
      <c r="FD53" s="7">
        <v>199</v>
      </c>
      <c r="FE53" s="7">
        <v>1049</v>
      </c>
      <c r="FF53" s="7">
        <v>2</v>
      </c>
      <c r="FG53" s="7">
        <v>571</v>
      </c>
      <c r="FH53" s="7">
        <v>300</v>
      </c>
      <c r="FI53" s="134">
        <v>73.331977217000002</v>
      </c>
      <c r="FJ53" s="134">
        <v>13.181448332</v>
      </c>
      <c r="FK53" s="134">
        <v>10.008136696999999</v>
      </c>
      <c r="FL53" s="134">
        <v>3.4784377542999998</v>
      </c>
      <c r="FM53" s="151">
        <v>3523</v>
      </c>
      <c r="FN53" s="151">
        <v>5805</v>
      </c>
      <c r="FO53" s="7">
        <v>2069</v>
      </c>
      <c r="FP53" s="7">
        <v>172</v>
      </c>
      <c r="FQ53" s="7">
        <v>78</v>
      </c>
      <c r="FR53" s="7">
        <v>4</v>
      </c>
      <c r="FS53" s="7">
        <v>1328</v>
      </c>
      <c r="FT53" s="7">
        <v>28</v>
      </c>
      <c r="FU53" s="7">
        <v>47</v>
      </c>
      <c r="FV53" s="7">
        <v>120</v>
      </c>
      <c r="FW53" s="7">
        <v>3511</v>
      </c>
      <c r="FX53" s="7">
        <v>5595</v>
      </c>
      <c r="FY53" s="7">
        <v>1953</v>
      </c>
      <c r="FZ53" s="7">
        <v>168</v>
      </c>
      <c r="GA53" s="7">
        <v>85</v>
      </c>
      <c r="GB53" s="7">
        <v>3</v>
      </c>
      <c r="GC53" s="7">
        <v>1447</v>
      </c>
      <c r="GD53" s="7">
        <v>18</v>
      </c>
      <c r="GE53" s="7">
        <v>44</v>
      </c>
      <c r="GF53" s="7">
        <v>129</v>
      </c>
      <c r="GG53" s="7">
        <v>558</v>
      </c>
      <c r="GH53" s="7">
        <v>520</v>
      </c>
      <c r="GI53" s="7">
        <v>496</v>
      </c>
      <c r="GJ53" s="7">
        <v>398</v>
      </c>
      <c r="GK53" s="7">
        <v>297</v>
      </c>
      <c r="GL53" s="7">
        <v>260</v>
      </c>
      <c r="GM53" s="7">
        <v>217</v>
      </c>
      <c r="GN53" s="7">
        <v>183</v>
      </c>
      <c r="GO53" s="7">
        <v>135</v>
      </c>
      <c r="GP53" s="7">
        <v>111</v>
      </c>
      <c r="GQ53" s="7">
        <v>75</v>
      </c>
      <c r="GR53" s="7">
        <v>84</v>
      </c>
      <c r="GS53" s="7">
        <v>67</v>
      </c>
      <c r="GT53" s="7">
        <v>34</v>
      </c>
      <c r="GU53" s="7">
        <v>44</v>
      </c>
      <c r="GV53" s="7">
        <v>25</v>
      </c>
      <c r="GW53" s="7">
        <v>9</v>
      </c>
      <c r="GX53" s="7">
        <v>8</v>
      </c>
      <c r="GY53" s="7">
        <v>522</v>
      </c>
      <c r="GZ53" s="7">
        <v>483</v>
      </c>
      <c r="HA53" s="7">
        <v>457</v>
      </c>
      <c r="HB53" s="7">
        <v>384</v>
      </c>
      <c r="HC53" s="7">
        <v>341</v>
      </c>
      <c r="HD53" s="7">
        <v>278</v>
      </c>
      <c r="HE53" s="7">
        <v>236</v>
      </c>
      <c r="HF53" s="7">
        <v>207</v>
      </c>
      <c r="HG53" s="7">
        <v>128</v>
      </c>
      <c r="HH53" s="7">
        <v>116</v>
      </c>
      <c r="HI53" s="7">
        <v>82</v>
      </c>
      <c r="HJ53" s="7">
        <v>88</v>
      </c>
      <c r="HK53" s="7">
        <v>58</v>
      </c>
      <c r="HL53" s="7">
        <v>46</v>
      </c>
      <c r="HM53" s="7">
        <v>41</v>
      </c>
      <c r="HN53" s="7">
        <v>12</v>
      </c>
      <c r="HO53" s="7">
        <v>13</v>
      </c>
      <c r="HP53" s="7">
        <v>18</v>
      </c>
      <c r="HQ53" s="7">
        <v>3799</v>
      </c>
      <c r="HR53" s="7">
        <v>1</v>
      </c>
      <c r="HS53" s="7">
        <v>0</v>
      </c>
      <c r="HT53" s="7">
        <v>0</v>
      </c>
      <c r="HU53" s="7">
        <v>0</v>
      </c>
      <c r="HV53" s="7">
        <v>1</v>
      </c>
      <c r="HW53" s="7">
        <v>0</v>
      </c>
      <c r="HX53" s="7">
        <v>50</v>
      </c>
      <c r="HY53" s="7">
        <v>166</v>
      </c>
      <c r="HZ53" s="7">
        <v>436</v>
      </c>
      <c r="IA53" s="7">
        <v>579</v>
      </c>
      <c r="IB53" s="7">
        <v>671</v>
      </c>
      <c r="IC53" s="7">
        <v>627</v>
      </c>
      <c r="ID53" s="7">
        <v>526</v>
      </c>
      <c r="IE53" s="7">
        <v>288</v>
      </c>
      <c r="IF53" s="7">
        <v>228</v>
      </c>
      <c r="IG53" s="7">
        <v>298</v>
      </c>
      <c r="IH53" s="7">
        <v>399</v>
      </c>
      <c r="II53" s="7">
        <v>1390</v>
      </c>
      <c r="IJ53" s="7">
        <v>946</v>
      </c>
      <c r="IK53" s="7">
        <v>632</v>
      </c>
      <c r="IL53" s="7">
        <v>256</v>
      </c>
      <c r="IM53" s="7">
        <v>99</v>
      </c>
      <c r="IN53" s="7">
        <v>52</v>
      </c>
      <c r="IO53" s="7">
        <v>11</v>
      </c>
      <c r="IP53" s="7">
        <v>6</v>
      </c>
      <c r="IQ53" s="7">
        <v>2205</v>
      </c>
      <c r="IR53" s="7">
        <v>1096</v>
      </c>
      <c r="IS53" s="7">
        <v>328</v>
      </c>
      <c r="IT53" s="7">
        <v>132</v>
      </c>
      <c r="IU53" s="7">
        <v>38</v>
      </c>
      <c r="IV53" s="7">
        <v>905</v>
      </c>
      <c r="IW53" s="7">
        <v>2617</v>
      </c>
      <c r="IX53" s="7">
        <v>38</v>
      </c>
      <c r="IY53" s="7">
        <v>92</v>
      </c>
      <c r="IZ53" s="7">
        <v>1</v>
      </c>
      <c r="JA53" s="7">
        <v>152</v>
      </c>
      <c r="JB53" s="7">
        <v>2593</v>
      </c>
      <c r="JC53" s="7">
        <v>542</v>
      </c>
      <c r="JD53" s="7">
        <v>178</v>
      </c>
      <c r="JE53" s="7">
        <v>65</v>
      </c>
      <c r="JF53" s="151">
        <v>3726.8646350625036</v>
      </c>
      <c r="JG53" s="151">
        <v>85.322933941134167</v>
      </c>
      <c r="JH53" s="7">
        <v>382</v>
      </c>
      <c r="JI53" s="7">
        <v>3326</v>
      </c>
      <c r="JJ53" s="7">
        <v>98</v>
      </c>
      <c r="JK53" s="7">
        <v>13</v>
      </c>
      <c r="JL53" s="7">
        <v>914</v>
      </c>
      <c r="JM53" s="7">
        <v>401</v>
      </c>
      <c r="JN53" s="7">
        <v>359</v>
      </c>
      <c r="JO53" s="7">
        <v>1495</v>
      </c>
      <c r="JP53" s="7">
        <v>2057</v>
      </c>
      <c r="JQ53" s="7">
        <v>150</v>
      </c>
      <c r="JR53" s="7">
        <v>171</v>
      </c>
      <c r="JS53" s="7">
        <v>832</v>
      </c>
      <c r="JT53" s="7">
        <v>29</v>
      </c>
      <c r="JU53" s="151">
        <v>357.32833539684623</v>
      </c>
      <c r="JV53" s="151">
        <v>2802.909779324053</v>
      </c>
      <c r="JW53" s="151">
        <v>549.35633612219397</v>
      </c>
      <c r="JX53" s="151">
        <v>17.270184219410289</v>
      </c>
      <c r="JY53" s="7">
        <v>3683</v>
      </c>
      <c r="JZ53" s="7">
        <v>18494</v>
      </c>
      <c r="KA53" s="7">
        <v>1</v>
      </c>
      <c r="KB53" s="7">
        <v>0</v>
      </c>
      <c r="KC53" s="7">
        <v>0</v>
      </c>
      <c r="KD53" s="7">
        <v>0</v>
      </c>
      <c r="KE53" s="7">
        <v>7</v>
      </c>
      <c r="KF53" s="7">
        <v>0</v>
      </c>
      <c r="KG53" s="7">
        <v>171</v>
      </c>
      <c r="KH53" s="7">
        <v>1803</v>
      </c>
      <c r="KI53" s="7">
        <v>16289</v>
      </c>
      <c r="KJ53" s="7">
        <v>440</v>
      </c>
      <c r="KK53" s="7">
        <v>41</v>
      </c>
      <c r="KL53" s="7">
        <v>1738</v>
      </c>
      <c r="KM53" s="7">
        <v>13633</v>
      </c>
      <c r="KN53" s="7">
        <v>2672</v>
      </c>
      <c r="KO53" s="7">
        <v>84</v>
      </c>
      <c r="KP53" s="7">
        <v>18127</v>
      </c>
      <c r="KQ53" s="7">
        <v>415</v>
      </c>
      <c r="KR53" s="7">
        <v>3432</v>
      </c>
      <c r="KS53" s="7">
        <v>3432</v>
      </c>
      <c r="KT53" s="7">
        <v>865</v>
      </c>
      <c r="KU53" s="7">
        <v>218</v>
      </c>
      <c r="KV53" s="7">
        <v>515</v>
      </c>
      <c r="KW53" s="7">
        <v>0</v>
      </c>
      <c r="KX53" s="7">
        <v>782</v>
      </c>
      <c r="KY53" s="7">
        <v>206</v>
      </c>
      <c r="KZ53" s="7">
        <v>404</v>
      </c>
      <c r="LA53" s="7">
        <v>0</v>
      </c>
      <c r="LB53" s="7">
        <v>1788</v>
      </c>
      <c r="LC53" s="7">
        <v>1650</v>
      </c>
      <c r="LD53" s="7">
        <v>795</v>
      </c>
      <c r="LE53" s="7">
        <v>1549</v>
      </c>
      <c r="LF53" s="7">
        <v>10447</v>
      </c>
      <c r="LG53" s="7">
        <v>13</v>
      </c>
      <c r="LH53" s="7">
        <v>2097</v>
      </c>
      <c r="LI53" s="7">
        <v>384</v>
      </c>
      <c r="LJ53" s="7">
        <v>1047</v>
      </c>
      <c r="LK53" s="7">
        <v>0</v>
      </c>
      <c r="LL53" s="7">
        <v>648</v>
      </c>
      <c r="LM53" s="7">
        <v>256</v>
      </c>
      <c r="LN53" s="7">
        <v>18</v>
      </c>
      <c r="LO53" s="7">
        <v>2063</v>
      </c>
      <c r="LP53" s="7">
        <v>379</v>
      </c>
      <c r="LQ53" s="7">
        <v>833</v>
      </c>
      <c r="LR53" s="7">
        <v>1</v>
      </c>
      <c r="LS53" s="7">
        <v>483</v>
      </c>
      <c r="LT53" s="7">
        <v>185</v>
      </c>
      <c r="LU53" s="232">
        <v>5.7601192192999999</v>
      </c>
      <c r="LV53" s="232">
        <v>6.2808815000999996</v>
      </c>
      <c r="LW53" s="232">
        <v>5.2448355010999999</v>
      </c>
      <c r="LX53" s="7">
        <v>3819</v>
      </c>
      <c r="LY53" s="7">
        <v>18573</v>
      </c>
    </row>
    <row r="54" spans="1:337" x14ac:dyDescent="0.25">
      <c r="A54" t="s">
        <v>132</v>
      </c>
      <c r="B54" t="s">
        <v>133</v>
      </c>
      <c r="C54" s="7">
        <v>19956</v>
      </c>
      <c r="D54">
        <v>21084</v>
      </c>
      <c r="F54">
        <f t="shared" si="2"/>
        <v>-21084</v>
      </c>
      <c r="G54">
        <f t="shared" si="3"/>
        <v>-100</v>
      </c>
      <c r="H54">
        <v>10481</v>
      </c>
      <c r="I54">
        <v>10603</v>
      </c>
      <c r="J54">
        <v>7286</v>
      </c>
      <c r="K54">
        <v>13798</v>
      </c>
      <c r="L54" s="7">
        <v>1059</v>
      </c>
      <c r="M54" s="7">
        <v>1035</v>
      </c>
      <c r="N54" s="7">
        <v>1084</v>
      </c>
      <c r="O54" s="7">
        <v>1146</v>
      </c>
      <c r="P54" s="7">
        <v>936</v>
      </c>
      <c r="Q54" s="7">
        <v>716</v>
      </c>
      <c r="R54" s="7">
        <v>686</v>
      </c>
      <c r="S54" s="7">
        <v>685</v>
      </c>
      <c r="T54" s="7">
        <v>564</v>
      </c>
      <c r="U54" s="7">
        <v>609</v>
      </c>
      <c r="V54" s="7">
        <v>484</v>
      </c>
      <c r="W54" s="7">
        <v>415</v>
      </c>
      <c r="X54" s="7">
        <v>296</v>
      </c>
      <c r="Y54" s="7">
        <v>755</v>
      </c>
      <c r="Z54" s="7">
        <v>11</v>
      </c>
      <c r="AA54" s="7">
        <v>1004</v>
      </c>
      <c r="AB54" s="7">
        <v>1052</v>
      </c>
      <c r="AC54" s="7">
        <v>1051</v>
      </c>
      <c r="AD54" s="7">
        <v>1086</v>
      </c>
      <c r="AE54" s="7">
        <v>982</v>
      </c>
      <c r="AF54" s="7">
        <v>814</v>
      </c>
      <c r="AG54" s="7">
        <v>856</v>
      </c>
      <c r="AH54" s="7">
        <v>731</v>
      </c>
      <c r="AI54" s="7">
        <v>606</v>
      </c>
      <c r="AJ54" s="7">
        <v>563</v>
      </c>
      <c r="AK54" s="7">
        <v>490</v>
      </c>
      <c r="AL54" s="7">
        <v>390</v>
      </c>
      <c r="AM54" s="7">
        <v>291</v>
      </c>
      <c r="AN54" s="7">
        <v>675</v>
      </c>
      <c r="AO54" s="7">
        <v>12</v>
      </c>
      <c r="AP54">
        <v>19067</v>
      </c>
      <c r="AQ54">
        <v>1929</v>
      </c>
      <c r="AR54">
        <v>18</v>
      </c>
      <c r="AS54">
        <v>7</v>
      </c>
      <c r="AT54">
        <v>63</v>
      </c>
      <c r="AU54" s="7">
        <v>1050</v>
      </c>
      <c r="AV54" s="7">
        <v>520</v>
      </c>
      <c r="AW54" s="7">
        <v>530</v>
      </c>
      <c r="AX54" s="7">
        <v>851</v>
      </c>
      <c r="AY54" s="7">
        <v>1050</v>
      </c>
      <c r="AZ54" s="7">
        <v>1029</v>
      </c>
      <c r="BA54" s="7">
        <v>21</v>
      </c>
      <c r="BB54" s="7">
        <v>21</v>
      </c>
      <c r="BC54" s="7">
        <v>24</v>
      </c>
      <c r="BD54" s="7">
        <v>65</v>
      </c>
      <c r="BE54" s="7">
        <v>72</v>
      </c>
      <c r="BF54" s="7">
        <v>87</v>
      </c>
      <c r="BG54" s="7">
        <v>71</v>
      </c>
      <c r="BH54" s="7">
        <v>74</v>
      </c>
      <c r="BI54" s="7">
        <v>67</v>
      </c>
      <c r="BJ54" s="7">
        <v>54</v>
      </c>
      <c r="BK54" s="7">
        <v>45</v>
      </c>
      <c r="BL54" s="7">
        <v>36</v>
      </c>
      <c r="BM54" s="7">
        <v>33</v>
      </c>
      <c r="BN54" s="7">
        <v>34</v>
      </c>
      <c r="BO54" s="7">
        <v>51</v>
      </c>
      <c r="BP54" s="7">
        <v>23</v>
      </c>
      <c r="BQ54" s="7">
        <v>27</v>
      </c>
      <c r="BR54" s="7">
        <v>19</v>
      </c>
      <c r="BS54" s="7">
        <v>24</v>
      </c>
      <c r="BT54" s="7">
        <v>22</v>
      </c>
      <c r="BU54" s="7">
        <v>29</v>
      </c>
      <c r="BV54" s="7">
        <v>18</v>
      </c>
      <c r="BW54" s="7">
        <v>22</v>
      </c>
      <c r="BX54" s="7">
        <v>21</v>
      </c>
      <c r="BY54" s="7">
        <v>22</v>
      </c>
      <c r="BZ54" s="7">
        <v>14</v>
      </c>
      <c r="CA54" s="7">
        <v>14</v>
      </c>
      <c r="CB54" s="7">
        <v>32</v>
      </c>
      <c r="CC54" s="7">
        <v>29</v>
      </c>
      <c r="CD54" s="7">
        <v>448</v>
      </c>
      <c r="CE54" s="7">
        <v>409</v>
      </c>
      <c r="CF54" s="7">
        <v>67</v>
      </c>
      <c r="CG54" s="7">
        <v>112</v>
      </c>
      <c r="CH54" s="7">
        <v>4148</v>
      </c>
      <c r="CI54" s="7">
        <v>1073</v>
      </c>
      <c r="CJ54" s="7">
        <v>17324</v>
      </c>
      <c r="CK54" s="7">
        <v>3735</v>
      </c>
      <c r="CL54" s="7">
        <v>417</v>
      </c>
      <c r="CM54" s="7">
        <v>782</v>
      </c>
      <c r="CN54" s="7">
        <v>1004</v>
      </c>
      <c r="CO54" s="7">
        <v>1191</v>
      </c>
      <c r="CP54" s="7">
        <v>862</v>
      </c>
      <c r="CQ54" s="7">
        <v>965</v>
      </c>
      <c r="CR54" s="7">
        <v>3798</v>
      </c>
      <c r="CS54" s="7">
        <v>8991</v>
      </c>
      <c r="CT54" s="7">
        <v>1531</v>
      </c>
      <c r="CU54" s="7">
        <v>448</v>
      </c>
      <c r="CV54" s="7">
        <v>215</v>
      </c>
      <c r="CW54" s="7">
        <v>624</v>
      </c>
      <c r="CX54" s="7">
        <v>135</v>
      </c>
      <c r="CY54" s="7">
        <v>12669</v>
      </c>
      <c r="CZ54" s="7">
        <v>7024</v>
      </c>
      <c r="DA54" s="7">
        <v>464</v>
      </c>
      <c r="DB54" s="7">
        <v>417</v>
      </c>
      <c r="DC54" s="7">
        <v>34</v>
      </c>
      <c r="DD54" s="7">
        <v>3219</v>
      </c>
      <c r="DE54" s="7">
        <v>2288</v>
      </c>
      <c r="DF54" s="7">
        <v>8291</v>
      </c>
      <c r="DG54" s="7">
        <v>0</v>
      </c>
      <c r="DH54" s="7">
        <v>7286</v>
      </c>
      <c r="DI54" s="7">
        <v>0</v>
      </c>
      <c r="DJ54" s="7">
        <v>0</v>
      </c>
      <c r="DK54" s="7">
        <v>0</v>
      </c>
      <c r="DL54" s="7">
        <v>29</v>
      </c>
      <c r="DM54" s="7">
        <v>7</v>
      </c>
      <c r="DN54" s="7">
        <v>11</v>
      </c>
      <c r="DO54" s="7">
        <v>0</v>
      </c>
      <c r="DP54" s="7">
        <v>1</v>
      </c>
      <c r="DQ54" s="7">
        <v>0</v>
      </c>
      <c r="DR54" s="7">
        <v>0</v>
      </c>
      <c r="DS54" s="7">
        <v>0</v>
      </c>
      <c r="DT54" s="7">
        <v>217</v>
      </c>
      <c r="DU54" s="7">
        <v>214</v>
      </c>
      <c r="DV54" s="7">
        <v>111</v>
      </c>
      <c r="DW54" s="7">
        <v>104</v>
      </c>
      <c r="DX54" s="7">
        <v>51</v>
      </c>
      <c r="DY54" s="7">
        <v>29</v>
      </c>
      <c r="DZ54" s="7">
        <v>53</v>
      </c>
      <c r="EA54" s="7">
        <v>35</v>
      </c>
      <c r="EB54" s="7">
        <v>14</v>
      </c>
      <c r="EC54" s="7">
        <v>13</v>
      </c>
      <c r="ED54" s="7">
        <v>9</v>
      </c>
      <c r="EE54" s="7">
        <v>11</v>
      </c>
      <c r="EF54" s="7">
        <v>46</v>
      </c>
      <c r="EG54" s="7">
        <v>36</v>
      </c>
      <c r="EH54" s="7">
        <v>248</v>
      </c>
      <c r="EI54" s="7">
        <v>118</v>
      </c>
      <c r="EJ54" s="7">
        <v>46</v>
      </c>
      <c r="EK54" s="7">
        <v>48</v>
      </c>
      <c r="EL54" s="7">
        <v>22</v>
      </c>
      <c r="EM54" s="7">
        <v>10</v>
      </c>
      <c r="EN54" s="7">
        <v>46</v>
      </c>
      <c r="EO54" s="7">
        <v>6088</v>
      </c>
      <c r="EP54" s="7">
        <v>5887</v>
      </c>
      <c r="EQ54" s="7">
        <v>201</v>
      </c>
      <c r="ER54" s="7">
        <v>1757</v>
      </c>
      <c r="ES54" s="7">
        <v>1542</v>
      </c>
      <c r="ET54" s="7">
        <v>1491</v>
      </c>
      <c r="EU54" s="7">
        <v>51</v>
      </c>
      <c r="EV54" s="7">
        <v>6537</v>
      </c>
      <c r="EW54" s="134">
        <v>46.388534128000003</v>
      </c>
      <c r="EX54" s="134">
        <v>16.177096636999998</v>
      </c>
      <c r="EY54" s="134">
        <v>11.792252022</v>
      </c>
      <c r="EZ54" s="134">
        <v>25.102880658</v>
      </c>
      <c r="FA54" s="134">
        <v>0.53923655459999997</v>
      </c>
      <c r="FB54" s="7">
        <v>1052</v>
      </c>
      <c r="FC54" s="7">
        <v>2860</v>
      </c>
      <c r="FD54" s="7">
        <v>290</v>
      </c>
      <c r="FE54" s="7">
        <v>1529</v>
      </c>
      <c r="FF54" s="7">
        <v>11</v>
      </c>
      <c r="FG54" s="7">
        <v>1095</v>
      </c>
      <c r="FH54" s="7">
        <v>782</v>
      </c>
      <c r="FI54" s="134">
        <v>16.475095785000001</v>
      </c>
      <c r="FJ54" s="134">
        <v>45.012061869999997</v>
      </c>
      <c r="FK54" s="134">
        <v>30.821626223999999</v>
      </c>
      <c r="FL54" s="134">
        <v>7.6912161203</v>
      </c>
      <c r="FM54" s="151">
        <v>6237</v>
      </c>
      <c r="FN54" s="151">
        <v>4219</v>
      </c>
      <c r="FO54" s="7">
        <v>542</v>
      </c>
      <c r="FP54" s="7">
        <v>195</v>
      </c>
      <c r="FQ54" s="7">
        <v>67</v>
      </c>
      <c r="FR54" s="7">
        <v>93</v>
      </c>
      <c r="FS54" s="7">
        <v>5288</v>
      </c>
      <c r="FT54" s="7">
        <v>48</v>
      </c>
      <c r="FU54" s="7">
        <v>27</v>
      </c>
      <c r="FV54" s="7">
        <v>25</v>
      </c>
      <c r="FW54" s="7">
        <v>6992</v>
      </c>
      <c r="FX54" s="7">
        <v>3593</v>
      </c>
      <c r="FY54" s="7">
        <v>529</v>
      </c>
      <c r="FZ54" s="7">
        <v>204</v>
      </c>
      <c r="GA54" s="7">
        <v>84</v>
      </c>
      <c r="GB54" s="7">
        <v>74</v>
      </c>
      <c r="GC54" s="7">
        <v>6066</v>
      </c>
      <c r="GD54" s="7">
        <v>34</v>
      </c>
      <c r="GE54" s="7">
        <v>26</v>
      </c>
      <c r="GF54" s="7">
        <v>18</v>
      </c>
      <c r="GG54" s="7">
        <v>724</v>
      </c>
      <c r="GH54" s="7">
        <v>688</v>
      </c>
      <c r="GI54" s="7">
        <v>734</v>
      </c>
      <c r="GJ54" s="7">
        <v>662</v>
      </c>
      <c r="GK54" s="7">
        <v>416</v>
      </c>
      <c r="GL54" s="7">
        <v>381</v>
      </c>
      <c r="GM54" s="7">
        <v>390</v>
      </c>
      <c r="GN54" s="7">
        <v>438</v>
      </c>
      <c r="GO54" s="7">
        <v>322</v>
      </c>
      <c r="GP54" s="7">
        <v>365</v>
      </c>
      <c r="GQ54" s="7">
        <v>275</v>
      </c>
      <c r="GR54" s="7">
        <v>234</v>
      </c>
      <c r="GS54" s="7">
        <v>168</v>
      </c>
      <c r="GT54" s="7">
        <v>128</v>
      </c>
      <c r="GU54" s="7">
        <v>130</v>
      </c>
      <c r="GV54" s="7">
        <v>86</v>
      </c>
      <c r="GW54" s="7">
        <v>50</v>
      </c>
      <c r="GX54" s="7">
        <v>43</v>
      </c>
      <c r="GY54" s="7">
        <v>665</v>
      </c>
      <c r="GZ54" s="7">
        <v>712</v>
      </c>
      <c r="HA54" s="7">
        <v>711</v>
      </c>
      <c r="HB54" s="7">
        <v>681</v>
      </c>
      <c r="HC54" s="7">
        <v>586</v>
      </c>
      <c r="HD54" s="7">
        <v>534</v>
      </c>
      <c r="HE54" s="7">
        <v>589</v>
      </c>
      <c r="HF54" s="7">
        <v>489</v>
      </c>
      <c r="HG54" s="7">
        <v>416</v>
      </c>
      <c r="HH54" s="7">
        <v>394</v>
      </c>
      <c r="HI54" s="7">
        <v>315</v>
      </c>
      <c r="HJ54" s="7">
        <v>263</v>
      </c>
      <c r="HK54" s="7">
        <v>197</v>
      </c>
      <c r="HL54" s="7">
        <v>145</v>
      </c>
      <c r="HM54" s="7">
        <v>124</v>
      </c>
      <c r="HN54" s="7">
        <v>93</v>
      </c>
      <c r="HO54" s="7">
        <v>30</v>
      </c>
      <c r="HP54" s="7">
        <v>43</v>
      </c>
      <c r="HQ54" s="7">
        <v>5156</v>
      </c>
      <c r="HR54" s="7">
        <v>2</v>
      </c>
      <c r="HS54" s="7">
        <v>19</v>
      </c>
      <c r="HT54" s="7">
        <v>1</v>
      </c>
      <c r="HU54" s="7">
        <v>3</v>
      </c>
      <c r="HV54" s="7">
        <v>0</v>
      </c>
      <c r="HW54" s="7">
        <v>0</v>
      </c>
      <c r="HX54" s="7">
        <v>42</v>
      </c>
      <c r="HY54" s="7">
        <v>416</v>
      </c>
      <c r="HZ54" s="7">
        <v>782</v>
      </c>
      <c r="IA54" s="7">
        <v>1002</v>
      </c>
      <c r="IB54" s="7">
        <v>1191</v>
      </c>
      <c r="IC54" s="7">
        <v>862</v>
      </c>
      <c r="ID54" s="7">
        <v>427</v>
      </c>
      <c r="IE54" s="7">
        <v>235</v>
      </c>
      <c r="IF54" s="7">
        <v>135</v>
      </c>
      <c r="IG54" s="7">
        <v>168</v>
      </c>
      <c r="IH54" s="7">
        <v>638</v>
      </c>
      <c r="II54" s="7">
        <v>745</v>
      </c>
      <c r="IJ54" s="7">
        <v>1262</v>
      </c>
      <c r="IK54" s="7">
        <v>1483</v>
      </c>
      <c r="IL54" s="7">
        <v>753</v>
      </c>
      <c r="IM54" s="7">
        <v>248</v>
      </c>
      <c r="IN54" s="7">
        <v>40</v>
      </c>
      <c r="IO54" s="7">
        <v>11</v>
      </c>
      <c r="IP54" s="7">
        <v>7</v>
      </c>
      <c r="IQ54" s="7">
        <v>2400</v>
      </c>
      <c r="IR54" s="7">
        <v>1924</v>
      </c>
      <c r="IS54" s="7">
        <v>708</v>
      </c>
      <c r="IT54" s="7">
        <v>134</v>
      </c>
      <c r="IU54" s="7">
        <v>20</v>
      </c>
      <c r="IV54" s="7">
        <v>1911</v>
      </c>
      <c r="IW54" s="7">
        <v>959</v>
      </c>
      <c r="IX54" s="7">
        <v>372</v>
      </c>
      <c r="IY54" s="7">
        <v>44</v>
      </c>
      <c r="IZ54" s="7">
        <v>19</v>
      </c>
      <c r="JA54" s="7">
        <v>1887</v>
      </c>
      <c r="JB54" s="7">
        <v>2299</v>
      </c>
      <c r="JC54" s="7">
        <v>1987</v>
      </c>
      <c r="JD54" s="7">
        <v>288</v>
      </c>
      <c r="JE54" s="7">
        <v>226</v>
      </c>
      <c r="JF54" s="151">
        <v>4934.1542544250451</v>
      </c>
      <c r="JG54" s="151">
        <v>262.30204005535614</v>
      </c>
      <c r="JH54" s="7">
        <v>638</v>
      </c>
      <c r="JI54" s="7">
        <v>4074</v>
      </c>
      <c r="JJ54" s="7">
        <v>471</v>
      </c>
      <c r="JK54" s="7">
        <v>35</v>
      </c>
      <c r="JL54" s="7">
        <v>3986</v>
      </c>
      <c r="JM54" s="7">
        <v>2868</v>
      </c>
      <c r="JN54" s="7">
        <v>1131</v>
      </c>
      <c r="JO54" s="7">
        <v>3089</v>
      </c>
      <c r="JP54" s="7">
        <v>4454</v>
      </c>
      <c r="JQ54" s="7">
        <v>502</v>
      </c>
      <c r="JR54" s="7">
        <v>677</v>
      </c>
      <c r="JS54" s="7">
        <v>2408</v>
      </c>
      <c r="JT54" s="7">
        <v>230</v>
      </c>
      <c r="JU54" s="151">
        <v>893.01696434725227</v>
      </c>
      <c r="JV54" s="151">
        <v>3921.390706574261</v>
      </c>
      <c r="JW54" s="151">
        <v>84.293661265426366</v>
      </c>
      <c r="JX54" s="151">
        <v>35.452922238105792</v>
      </c>
      <c r="JY54" s="7">
        <v>5039</v>
      </c>
      <c r="JZ54" s="7">
        <v>20826</v>
      </c>
      <c r="KA54" s="7">
        <v>16</v>
      </c>
      <c r="KB54" s="7">
        <v>62</v>
      </c>
      <c r="KC54" s="7">
        <v>4</v>
      </c>
      <c r="KD54" s="7">
        <v>7</v>
      </c>
      <c r="KE54" s="7">
        <v>0</v>
      </c>
      <c r="KF54" s="7">
        <v>0</v>
      </c>
      <c r="KG54" s="7">
        <v>150</v>
      </c>
      <c r="KH54" s="7">
        <v>2648</v>
      </c>
      <c r="KI54" s="7">
        <v>16497</v>
      </c>
      <c r="KJ54" s="7">
        <v>1763</v>
      </c>
      <c r="KK54" s="7">
        <v>144</v>
      </c>
      <c r="KL54" s="7">
        <v>3602</v>
      </c>
      <c r="KM54" s="7">
        <v>15817</v>
      </c>
      <c r="KN54" s="7">
        <v>340</v>
      </c>
      <c r="KO54" s="7">
        <v>143</v>
      </c>
      <c r="KP54" s="7">
        <v>19902</v>
      </c>
      <c r="KQ54" s="7">
        <v>1058</v>
      </c>
      <c r="KR54" s="7">
        <v>3029</v>
      </c>
      <c r="KS54" s="7">
        <v>3029</v>
      </c>
      <c r="KT54" s="7">
        <v>543</v>
      </c>
      <c r="KU54" s="7">
        <v>219</v>
      </c>
      <c r="KV54" s="7">
        <v>566</v>
      </c>
      <c r="KW54" s="7">
        <v>0</v>
      </c>
      <c r="KX54" s="7">
        <v>524</v>
      </c>
      <c r="KY54" s="7">
        <v>187</v>
      </c>
      <c r="KZ54" s="7">
        <v>560</v>
      </c>
      <c r="LA54" s="7">
        <v>6</v>
      </c>
      <c r="LB54" s="7">
        <v>1577</v>
      </c>
      <c r="LC54" s="7">
        <v>1597</v>
      </c>
      <c r="LD54" s="7">
        <v>944</v>
      </c>
      <c r="LE54" s="7">
        <v>1336</v>
      </c>
      <c r="LF54" s="7">
        <v>14776</v>
      </c>
      <c r="LG54" s="7">
        <v>40</v>
      </c>
      <c r="LH54" s="7">
        <v>2595</v>
      </c>
      <c r="LI54" s="7">
        <v>434</v>
      </c>
      <c r="LJ54" s="7">
        <v>1379</v>
      </c>
      <c r="LK54" s="7">
        <v>5</v>
      </c>
      <c r="LL54" s="7">
        <v>1117</v>
      </c>
      <c r="LM54" s="7">
        <v>628</v>
      </c>
      <c r="LN54" s="7">
        <v>34</v>
      </c>
      <c r="LO54" s="7">
        <v>2652</v>
      </c>
      <c r="LP54" s="7">
        <v>332</v>
      </c>
      <c r="LQ54" s="7">
        <v>1396</v>
      </c>
      <c r="LR54" s="7">
        <v>15</v>
      </c>
      <c r="LS54" s="7">
        <v>1078</v>
      </c>
      <c r="LT54" s="7">
        <v>563</v>
      </c>
      <c r="LU54" s="232">
        <v>6.5658288042999997</v>
      </c>
      <c r="LV54" s="232">
        <v>6.7635963100999996</v>
      </c>
      <c r="LW54" s="232">
        <v>6.3732063833000003</v>
      </c>
      <c r="LX54" s="7">
        <v>5218</v>
      </c>
      <c r="LY54" s="7">
        <v>21052</v>
      </c>
    </row>
    <row r="55" spans="1:337" x14ac:dyDescent="0.25">
      <c r="A55" t="s">
        <v>76</v>
      </c>
      <c r="B55" t="s">
        <v>77</v>
      </c>
      <c r="C55" s="7">
        <v>39770</v>
      </c>
      <c r="D55">
        <v>44082</v>
      </c>
      <c r="F55">
        <f t="shared" si="2"/>
        <v>-44082</v>
      </c>
      <c r="G55">
        <f t="shared" si="3"/>
        <v>-100</v>
      </c>
      <c r="H55">
        <v>22120</v>
      </c>
      <c r="I55">
        <v>21962</v>
      </c>
      <c r="J55">
        <v>12948</v>
      </c>
      <c r="K55">
        <v>31134</v>
      </c>
      <c r="L55" s="7">
        <v>2368</v>
      </c>
      <c r="M55" s="7">
        <v>2456</v>
      </c>
      <c r="N55" s="7">
        <v>2702</v>
      </c>
      <c r="O55" s="7">
        <v>2549</v>
      </c>
      <c r="P55" s="7">
        <v>1881</v>
      </c>
      <c r="Q55" s="7">
        <v>1539</v>
      </c>
      <c r="R55" s="7">
        <v>1473</v>
      </c>
      <c r="S55" s="7">
        <v>1475</v>
      </c>
      <c r="T55" s="7">
        <v>1189</v>
      </c>
      <c r="U55" s="7">
        <v>1024</v>
      </c>
      <c r="V55" s="7">
        <v>858</v>
      </c>
      <c r="W55" s="7">
        <v>743</v>
      </c>
      <c r="X55" s="7">
        <v>569</v>
      </c>
      <c r="Y55" s="7">
        <v>1261</v>
      </c>
      <c r="Z55" s="7">
        <v>33</v>
      </c>
      <c r="AA55" s="7">
        <v>2287</v>
      </c>
      <c r="AB55" s="7">
        <v>2318</v>
      </c>
      <c r="AC55" s="7">
        <v>2638</v>
      </c>
      <c r="AD55" s="7">
        <v>2542</v>
      </c>
      <c r="AE55" s="7">
        <v>2089</v>
      </c>
      <c r="AF55" s="7">
        <v>1742</v>
      </c>
      <c r="AG55" s="7">
        <v>1603</v>
      </c>
      <c r="AH55" s="7">
        <v>1514</v>
      </c>
      <c r="AI55" s="7">
        <v>1160</v>
      </c>
      <c r="AJ55" s="7">
        <v>975</v>
      </c>
      <c r="AK55" s="7">
        <v>774</v>
      </c>
      <c r="AL55" s="7">
        <v>625</v>
      </c>
      <c r="AM55" s="7">
        <v>484</v>
      </c>
      <c r="AN55" s="7">
        <v>1173</v>
      </c>
      <c r="AO55" s="7">
        <v>38</v>
      </c>
      <c r="AP55">
        <v>43710</v>
      </c>
      <c r="AQ55">
        <v>119</v>
      </c>
      <c r="AR55">
        <v>37</v>
      </c>
      <c r="AS55">
        <v>37</v>
      </c>
      <c r="AT55">
        <v>179</v>
      </c>
      <c r="AU55" s="7">
        <v>2765</v>
      </c>
      <c r="AV55" s="7">
        <v>1432</v>
      </c>
      <c r="AW55" s="7">
        <v>1333</v>
      </c>
      <c r="AX55" s="7">
        <v>2085</v>
      </c>
      <c r="AY55" s="7">
        <v>2765</v>
      </c>
      <c r="AZ55" s="7">
        <v>2549</v>
      </c>
      <c r="BA55" s="7">
        <v>216</v>
      </c>
      <c r="BB55" s="7">
        <v>68</v>
      </c>
      <c r="BC55" s="7">
        <v>83</v>
      </c>
      <c r="BD55" s="7">
        <v>186</v>
      </c>
      <c r="BE55" s="7">
        <v>223</v>
      </c>
      <c r="BF55" s="7">
        <v>228</v>
      </c>
      <c r="BG55" s="7">
        <v>182</v>
      </c>
      <c r="BH55" s="7">
        <v>175</v>
      </c>
      <c r="BI55" s="7">
        <v>200</v>
      </c>
      <c r="BJ55" s="7">
        <v>154</v>
      </c>
      <c r="BK55" s="7">
        <v>142</v>
      </c>
      <c r="BL55" s="7">
        <v>113</v>
      </c>
      <c r="BM55" s="7">
        <v>94</v>
      </c>
      <c r="BN55" s="7">
        <v>104</v>
      </c>
      <c r="BO55" s="7">
        <v>90</v>
      </c>
      <c r="BP55" s="7">
        <v>70</v>
      </c>
      <c r="BQ55" s="7">
        <v>71</v>
      </c>
      <c r="BR55" s="7">
        <v>78</v>
      </c>
      <c r="BS55" s="7">
        <v>65</v>
      </c>
      <c r="BT55" s="7">
        <v>69</v>
      </c>
      <c r="BU55" s="7">
        <v>63</v>
      </c>
      <c r="BV55" s="7">
        <v>40</v>
      </c>
      <c r="BW55" s="7">
        <v>31</v>
      </c>
      <c r="BX55" s="7">
        <v>51</v>
      </c>
      <c r="BY55" s="7">
        <v>20</v>
      </c>
      <c r="BZ55" s="7">
        <v>32</v>
      </c>
      <c r="CA55" s="7">
        <v>23</v>
      </c>
      <c r="CB55" s="7">
        <v>64</v>
      </c>
      <c r="CC55" s="7">
        <v>46</v>
      </c>
      <c r="CD55" s="7">
        <v>1224</v>
      </c>
      <c r="CE55" s="7">
        <v>1107</v>
      </c>
      <c r="CF55" s="7">
        <v>83</v>
      </c>
      <c r="CG55" s="7">
        <v>120</v>
      </c>
      <c r="CH55" s="7">
        <v>8414</v>
      </c>
      <c r="CI55" s="7">
        <v>1477</v>
      </c>
      <c r="CJ55" s="7">
        <v>38604</v>
      </c>
      <c r="CK55" s="7">
        <v>5430</v>
      </c>
      <c r="CL55" s="7">
        <v>612</v>
      </c>
      <c r="CM55" s="7">
        <v>1221</v>
      </c>
      <c r="CN55" s="7">
        <v>1617</v>
      </c>
      <c r="CO55" s="7">
        <v>2076</v>
      </c>
      <c r="CP55" s="7">
        <v>1763</v>
      </c>
      <c r="CQ55" s="7">
        <v>2602</v>
      </c>
      <c r="CR55" s="7">
        <v>7782</v>
      </c>
      <c r="CS55" s="7">
        <v>20675</v>
      </c>
      <c r="CT55" s="7">
        <v>2881</v>
      </c>
      <c r="CU55" s="7">
        <v>1053</v>
      </c>
      <c r="CV55" s="7">
        <v>324</v>
      </c>
      <c r="CW55" s="7">
        <v>1113</v>
      </c>
      <c r="CX55" s="7">
        <v>107</v>
      </c>
      <c r="CY55" s="7">
        <v>28007</v>
      </c>
      <c r="CZ55" s="7">
        <v>13995</v>
      </c>
      <c r="DA55" s="7">
        <v>410</v>
      </c>
      <c r="DB55" s="7">
        <v>612</v>
      </c>
      <c r="DC55" s="7">
        <v>10</v>
      </c>
      <c r="DD55" s="7">
        <v>7771</v>
      </c>
      <c r="DE55" s="7">
        <v>1744</v>
      </c>
      <c r="DF55" s="7">
        <v>21619</v>
      </c>
      <c r="DG55" s="7">
        <v>5307</v>
      </c>
      <c r="DH55" s="7">
        <v>7641</v>
      </c>
      <c r="DI55" s="7">
        <v>0</v>
      </c>
      <c r="DJ55" s="7">
        <v>0</v>
      </c>
      <c r="DK55" s="7">
        <v>0</v>
      </c>
      <c r="DL55" s="7">
        <v>458</v>
      </c>
      <c r="DM55" s="7">
        <v>5</v>
      </c>
      <c r="DN55" s="7">
        <v>18</v>
      </c>
      <c r="DO55" s="7">
        <v>2</v>
      </c>
      <c r="DP55" s="7">
        <v>1</v>
      </c>
      <c r="DQ55" s="7">
        <v>0</v>
      </c>
      <c r="DR55" s="7">
        <v>0</v>
      </c>
      <c r="DS55" s="7">
        <v>0</v>
      </c>
      <c r="DT55" s="7">
        <v>223</v>
      </c>
      <c r="DU55" s="7">
        <v>203</v>
      </c>
      <c r="DV55" s="7">
        <v>113</v>
      </c>
      <c r="DW55" s="7">
        <v>88</v>
      </c>
      <c r="DX55" s="7">
        <v>58</v>
      </c>
      <c r="DY55" s="7">
        <v>38</v>
      </c>
      <c r="DZ55" s="7">
        <v>46</v>
      </c>
      <c r="EA55" s="7">
        <v>48</v>
      </c>
      <c r="EB55" s="7">
        <v>15</v>
      </c>
      <c r="EC55" s="7">
        <v>15</v>
      </c>
      <c r="ED55" s="7">
        <v>16</v>
      </c>
      <c r="EE55" s="7">
        <v>7</v>
      </c>
      <c r="EF55" s="7">
        <v>57</v>
      </c>
      <c r="EG55" s="7">
        <v>47</v>
      </c>
      <c r="EH55" s="7">
        <v>314</v>
      </c>
      <c r="EI55" s="7">
        <v>135</v>
      </c>
      <c r="EJ55" s="7">
        <v>68</v>
      </c>
      <c r="EK55" s="7">
        <v>48</v>
      </c>
      <c r="EL55" s="7">
        <v>21</v>
      </c>
      <c r="EM55" s="7">
        <v>14</v>
      </c>
      <c r="EN55" s="7">
        <v>65</v>
      </c>
      <c r="EO55" s="7">
        <v>12842</v>
      </c>
      <c r="EP55" s="7">
        <v>12549</v>
      </c>
      <c r="EQ55" s="7">
        <v>293</v>
      </c>
      <c r="ER55" s="7">
        <v>3216</v>
      </c>
      <c r="ES55" s="7">
        <v>1795</v>
      </c>
      <c r="ET55" s="7">
        <v>1766</v>
      </c>
      <c r="EU55" s="7">
        <v>29</v>
      </c>
      <c r="EV55" s="7">
        <v>14397</v>
      </c>
      <c r="EW55" s="134">
        <v>77.719272937</v>
      </c>
      <c r="EX55" s="134">
        <v>6.9676860935000002</v>
      </c>
      <c r="EY55" s="134">
        <v>4.8975764570000004</v>
      </c>
      <c r="EZ55" s="134">
        <v>9.7230236584000007</v>
      </c>
      <c r="FA55" s="134">
        <v>0.69244085399999999</v>
      </c>
      <c r="FB55" s="7">
        <v>3212</v>
      </c>
      <c r="FC55" s="7">
        <v>6431</v>
      </c>
      <c r="FD55" s="7">
        <v>501</v>
      </c>
      <c r="FE55" s="7">
        <v>2584</v>
      </c>
      <c r="FF55" s="7">
        <v>24</v>
      </c>
      <c r="FG55" s="7">
        <v>1234</v>
      </c>
      <c r="FH55" s="7">
        <v>603</v>
      </c>
      <c r="FI55" s="134">
        <v>66.712348528999996</v>
      </c>
      <c r="FJ55" s="134">
        <v>19.373918061000001</v>
      </c>
      <c r="FK55" s="134">
        <v>5.9073860358000001</v>
      </c>
      <c r="FL55" s="134">
        <v>8.0063473745000007</v>
      </c>
      <c r="FM55" s="151">
        <v>13911</v>
      </c>
      <c r="FN55" s="151">
        <v>8079</v>
      </c>
      <c r="FO55" s="7">
        <v>369</v>
      </c>
      <c r="FP55" s="7">
        <v>229</v>
      </c>
      <c r="FQ55" s="7">
        <v>59</v>
      </c>
      <c r="FR55" s="7">
        <v>7</v>
      </c>
      <c r="FS55" s="7">
        <v>13142</v>
      </c>
      <c r="FT55" s="7">
        <v>41</v>
      </c>
      <c r="FU55" s="7">
        <v>73</v>
      </c>
      <c r="FV55" s="7">
        <v>130</v>
      </c>
      <c r="FW55" s="7">
        <v>14947</v>
      </c>
      <c r="FX55" s="7">
        <v>6892</v>
      </c>
      <c r="FY55" s="7">
        <v>366</v>
      </c>
      <c r="FZ55" s="7">
        <v>238</v>
      </c>
      <c r="GA55" s="7">
        <v>56</v>
      </c>
      <c r="GB55" s="7">
        <v>6</v>
      </c>
      <c r="GC55" s="7">
        <v>14159</v>
      </c>
      <c r="GD55" s="7">
        <v>29</v>
      </c>
      <c r="GE55" s="7">
        <v>102</v>
      </c>
      <c r="GF55" s="7">
        <v>123</v>
      </c>
      <c r="GG55" s="7">
        <v>1316</v>
      </c>
      <c r="GH55" s="7">
        <v>1635</v>
      </c>
      <c r="GI55" s="7">
        <v>1939</v>
      </c>
      <c r="GJ55" s="7">
        <v>1651</v>
      </c>
      <c r="GK55" s="7">
        <v>884</v>
      </c>
      <c r="GL55" s="7">
        <v>790</v>
      </c>
      <c r="GM55" s="7">
        <v>893</v>
      </c>
      <c r="GN55" s="7">
        <v>942</v>
      </c>
      <c r="GO55" s="7">
        <v>823</v>
      </c>
      <c r="GP55" s="7">
        <v>679</v>
      </c>
      <c r="GQ55" s="7">
        <v>558</v>
      </c>
      <c r="GR55" s="7">
        <v>480</v>
      </c>
      <c r="GS55" s="7">
        <v>375</v>
      </c>
      <c r="GT55" s="7">
        <v>301</v>
      </c>
      <c r="GU55" s="7">
        <v>312</v>
      </c>
      <c r="GV55" s="7">
        <v>155</v>
      </c>
      <c r="GW55" s="7">
        <v>99</v>
      </c>
      <c r="GX55" s="7">
        <v>75</v>
      </c>
      <c r="GY55" s="7">
        <v>1272</v>
      </c>
      <c r="GZ55" s="7">
        <v>1488</v>
      </c>
      <c r="HA55" s="7">
        <v>1883</v>
      </c>
      <c r="HB55" s="7">
        <v>1636</v>
      </c>
      <c r="HC55" s="7">
        <v>1204</v>
      </c>
      <c r="HD55" s="7">
        <v>1168</v>
      </c>
      <c r="HE55" s="7">
        <v>1144</v>
      </c>
      <c r="HF55" s="7">
        <v>1157</v>
      </c>
      <c r="HG55" s="7">
        <v>880</v>
      </c>
      <c r="HH55" s="7">
        <v>723</v>
      </c>
      <c r="HI55" s="7">
        <v>602</v>
      </c>
      <c r="HJ55" s="7">
        <v>466</v>
      </c>
      <c r="HK55" s="7">
        <v>373</v>
      </c>
      <c r="HL55" s="7">
        <v>345</v>
      </c>
      <c r="HM55" s="7">
        <v>291</v>
      </c>
      <c r="HN55" s="7">
        <v>153</v>
      </c>
      <c r="HO55" s="7">
        <v>75</v>
      </c>
      <c r="HP55" s="7">
        <v>75</v>
      </c>
      <c r="HQ55" s="7">
        <v>9816</v>
      </c>
      <c r="HR55" s="7">
        <v>4</v>
      </c>
      <c r="HS55" s="7">
        <v>4</v>
      </c>
      <c r="HT55" s="7">
        <v>0</v>
      </c>
      <c r="HU55" s="7">
        <v>1</v>
      </c>
      <c r="HV55" s="7">
        <v>0</v>
      </c>
      <c r="HW55" s="7">
        <v>2</v>
      </c>
      <c r="HX55" s="7">
        <v>79</v>
      </c>
      <c r="HY55" s="7">
        <v>611</v>
      </c>
      <c r="HZ55" s="7">
        <v>1220</v>
      </c>
      <c r="IA55" s="7">
        <v>1616</v>
      </c>
      <c r="IB55" s="7">
        <v>2076</v>
      </c>
      <c r="IC55" s="7">
        <v>1763</v>
      </c>
      <c r="ID55" s="7">
        <v>1246</v>
      </c>
      <c r="IE55" s="7">
        <v>535</v>
      </c>
      <c r="IF55" s="7">
        <v>318</v>
      </c>
      <c r="IG55" s="7">
        <v>503</v>
      </c>
      <c r="IH55" s="7">
        <v>1643</v>
      </c>
      <c r="II55" s="7">
        <v>3466</v>
      </c>
      <c r="IJ55" s="7">
        <v>2573</v>
      </c>
      <c r="IK55" s="7">
        <v>1423</v>
      </c>
      <c r="IL55" s="7">
        <v>488</v>
      </c>
      <c r="IM55" s="7">
        <v>139</v>
      </c>
      <c r="IN55" s="7">
        <v>44</v>
      </c>
      <c r="IO55" s="7">
        <v>14</v>
      </c>
      <c r="IP55" s="7">
        <v>13</v>
      </c>
      <c r="IQ55" s="7">
        <v>5918</v>
      </c>
      <c r="IR55" s="7">
        <v>2943</v>
      </c>
      <c r="IS55" s="7">
        <v>768</v>
      </c>
      <c r="IT55" s="7">
        <v>152</v>
      </c>
      <c r="IU55" s="7">
        <v>42</v>
      </c>
      <c r="IV55" s="7">
        <v>4777</v>
      </c>
      <c r="IW55" s="7">
        <v>2251</v>
      </c>
      <c r="IX55" s="7">
        <v>193</v>
      </c>
      <c r="IY55" s="7">
        <v>223</v>
      </c>
      <c r="IZ55" s="7">
        <v>64</v>
      </c>
      <c r="JA55" s="7">
        <v>2339</v>
      </c>
      <c r="JB55" s="7">
        <v>6185</v>
      </c>
      <c r="JC55" s="7">
        <v>2281</v>
      </c>
      <c r="JD55" s="7">
        <v>152</v>
      </c>
      <c r="JE55" s="7">
        <v>31</v>
      </c>
      <c r="JF55" s="151">
        <v>8845.8343647221445</v>
      </c>
      <c r="JG55" s="151">
        <v>1013.9431787500511</v>
      </c>
      <c r="JH55" s="7">
        <v>1151</v>
      </c>
      <c r="JI55" s="7">
        <v>8546</v>
      </c>
      <c r="JJ55" s="7">
        <v>156</v>
      </c>
      <c r="JK55" s="7">
        <v>35</v>
      </c>
      <c r="JL55" s="7">
        <v>6343</v>
      </c>
      <c r="JM55" s="7">
        <v>3922</v>
      </c>
      <c r="JN55" s="7">
        <v>1637</v>
      </c>
      <c r="JO55" s="7">
        <v>6815</v>
      </c>
      <c r="JP55" s="7">
        <v>8122</v>
      </c>
      <c r="JQ55" s="7">
        <v>375</v>
      </c>
      <c r="JR55" s="7">
        <v>1043</v>
      </c>
      <c r="JS55" s="7">
        <v>2806</v>
      </c>
      <c r="JT55" s="7">
        <v>117</v>
      </c>
      <c r="JU55" s="151">
        <v>552.12058780851248</v>
      </c>
      <c r="JV55" s="151">
        <v>8135.8045933378044</v>
      </c>
      <c r="JW55" s="151">
        <v>120.84657292147263</v>
      </c>
      <c r="JX55" s="151">
        <v>37.062610654354991</v>
      </c>
      <c r="JY55" s="7">
        <v>9329</v>
      </c>
      <c r="JZ55" s="7">
        <v>43712</v>
      </c>
      <c r="KA55" s="7">
        <v>20</v>
      </c>
      <c r="KB55" s="7">
        <v>16</v>
      </c>
      <c r="KC55" s="7">
        <v>0</v>
      </c>
      <c r="KD55" s="7">
        <v>3</v>
      </c>
      <c r="KE55" s="7">
        <v>0</v>
      </c>
      <c r="KF55" s="7">
        <v>3</v>
      </c>
      <c r="KG55" s="7">
        <v>325</v>
      </c>
      <c r="KH55" s="7">
        <v>5298</v>
      </c>
      <c r="KI55" s="7">
        <v>37990</v>
      </c>
      <c r="KJ55" s="7">
        <v>608</v>
      </c>
      <c r="KK55" s="7">
        <v>132</v>
      </c>
      <c r="KL55" s="7">
        <v>2458</v>
      </c>
      <c r="KM55" s="7">
        <v>36220</v>
      </c>
      <c r="KN55" s="7">
        <v>538</v>
      </c>
      <c r="KO55" s="7">
        <v>165</v>
      </c>
      <c r="KP55" s="7">
        <v>39381</v>
      </c>
      <c r="KQ55" s="7">
        <v>4514</v>
      </c>
      <c r="KR55" s="7">
        <v>6284</v>
      </c>
      <c r="KS55" s="7">
        <v>6284</v>
      </c>
      <c r="KT55" s="7">
        <v>1115</v>
      </c>
      <c r="KU55" s="7">
        <v>452</v>
      </c>
      <c r="KV55" s="7">
        <v>1129</v>
      </c>
      <c r="KW55" s="7">
        <v>14</v>
      </c>
      <c r="KX55" s="7">
        <v>1023</v>
      </c>
      <c r="KY55" s="7">
        <v>478</v>
      </c>
      <c r="KZ55" s="7">
        <v>1077</v>
      </c>
      <c r="LA55" s="7">
        <v>6</v>
      </c>
      <c r="LB55" s="7">
        <v>3548</v>
      </c>
      <c r="LC55" s="7">
        <v>3503</v>
      </c>
      <c r="LD55" s="7">
        <v>3079</v>
      </c>
      <c r="LE55" s="7">
        <v>3834</v>
      </c>
      <c r="LF55" s="7">
        <v>29242</v>
      </c>
      <c r="LG55" s="7">
        <v>64</v>
      </c>
      <c r="LH55" s="7">
        <v>5898</v>
      </c>
      <c r="LI55" s="7">
        <v>821</v>
      </c>
      <c r="LJ55" s="7">
        <v>2504</v>
      </c>
      <c r="LK55" s="7">
        <v>26</v>
      </c>
      <c r="LL55" s="7">
        <v>1548</v>
      </c>
      <c r="LM55" s="7">
        <v>543</v>
      </c>
      <c r="LN55" s="7">
        <v>58</v>
      </c>
      <c r="LO55" s="7">
        <v>6079</v>
      </c>
      <c r="LP55" s="7">
        <v>782</v>
      </c>
      <c r="LQ55" s="7">
        <v>2412</v>
      </c>
      <c r="LR55" s="7">
        <v>20</v>
      </c>
      <c r="LS55" s="7">
        <v>1282</v>
      </c>
      <c r="LT55" s="7">
        <v>372</v>
      </c>
      <c r="LU55" s="232">
        <v>5.2439410631000003</v>
      </c>
      <c r="LV55" s="232">
        <v>5.4624645402000001</v>
      </c>
      <c r="LW55" s="232">
        <v>5.0275436792999999</v>
      </c>
      <c r="LX55" s="7">
        <v>9888</v>
      </c>
      <c r="LY55" s="7">
        <v>44028</v>
      </c>
    </row>
    <row r="56" spans="1:337" x14ac:dyDescent="0.25">
      <c r="A56" t="s">
        <v>108</v>
      </c>
      <c r="B56" t="s">
        <v>109</v>
      </c>
      <c r="C56" s="7">
        <v>5969</v>
      </c>
      <c r="D56">
        <v>7272</v>
      </c>
      <c r="F56">
        <f t="shared" si="2"/>
        <v>-7272</v>
      </c>
      <c r="G56">
        <f t="shared" si="3"/>
        <v>-100</v>
      </c>
      <c r="H56">
        <v>3649</v>
      </c>
      <c r="I56">
        <v>3623</v>
      </c>
      <c r="J56">
        <v>0</v>
      </c>
      <c r="K56">
        <v>7272</v>
      </c>
      <c r="L56" s="7">
        <v>514</v>
      </c>
      <c r="M56" s="7">
        <v>554</v>
      </c>
      <c r="N56" s="7">
        <v>484</v>
      </c>
      <c r="O56" s="7">
        <v>424</v>
      </c>
      <c r="P56" s="7">
        <v>283</v>
      </c>
      <c r="Q56" s="7">
        <v>234</v>
      </c>
      <c r="R56" s="7">
        <v>215</v>
      </c>
      <c r="S56" s="7">
        <v>166</v>
      </c>
      <c r="T56" s="7">
        <v>149</v>
      </c>
      <c r="U56" s="7">
        <v>137</v>
      </c>
      <c r="V56" s="7">
        <v>108</v>
      </c>
      <c r="W56" s="7">
        <v>93</v>
      </c>
      <c r="X56" s="7">
        <v>80</v>
      </c>
      <c r="Y56" s="7">
        <v>203</v>
      </c>
      <c r="Z56" s="7">
        <v>5</v>
      </c>
      <c r="AA56" s="7">
        <v>493</v>
      </c>
      <c r="AB56" s="7">
        <v>482</v>
      </c>
      <c r="AC56" s="7">
        <v>494</v>
      </c>
      <c r="AD56" s="7">
        <v>408</v>
      </c>
      <c r="AE56" s="7">
        <v>303</v>
      </c>
      <c r="AF56" s="7">
        <v>238</v>
      </c>
      <c r="AG56" s="7">
        <v>227</v>
      </c>
      <c r="AH56" s="7">
        <v>191</v>
      </c>
      <c r="AI56" s="7">
        <v>154</v>
      </c>
      <c r="AJ56" s="7">
        <v>134</v>
      </c>
      <c r="AK56" s="7">
        <v>105</v>
      </c>
      <c r="AL56" s="7">
        <v>93</v>
      </c>
      <c r="AM56" s="7">
        <v>74</v>
      </c>
      <c r="AN56" s="7">
        <v>225</v>
      </c>
      <c r="AO56" s="7">
        <v>2</v>
      </c>
      <c r="AP56">
        <v>7221</v>
      </c>
      <c r="AQ56">
        <v>35</v>
      </c>
      <c r="AR56">
        <v>1</v>
      </c>
      <c r="AS56">
        <v>1</v>
      </c>
      <c r="AT56">
        <v>14</v>
      </c>
      <c r="AU56" s="7">
        <v>79</v>
      </c>
      <c r="AV56" s="7">
        <v>50</v>
      </c>
      <c r="AW56" s="7">
        <v>29</v>
      </c>
      <c r="AX56" s="7">
        <v>87</v>
      </c>
      <c r="AY56" s="7">
        <v>79</v>
      </c>
      <c r="AZ56" s="7">
        <v>79</v>
      </c>
      <c r="BA56" s="7">
        <v>0</v>
      </c>
      <c r="BB56" s="7">
        <v>13</v>
      </c>
      <c r="BC56" s="7">
        <v>0</v>
      </c>
      <c r="BD56" s="7">
        <v>1</v>
      </c>
      <c r="BE56" s="7">
        <v>0</v>
      </c>
      <c r="BF56" s="7">
        <v>1</v>
      </c>
      <c r="BG56" s="7">
        <v>0</v>
      </c>
      <c r="BH56" s="7">
        <v>0</v>
      </c>
      <c r="BI56" s="7">
        <v>1</v>
      </c>
      <c r="BJ56" s="7">
        <v>1</v>
      </c>
      <c r="BK56" s="7">
        <v>2</v>
      </c>
      <c r="BL56" s="7">
        <v>0</v>
      </c>
      <c r="BM56" s="7">
        <v>0</v>
      </c>
      <c r="BN56" s="7">
        <v>0</v>
      </c>
      <c r="BO56" s="7">
        <v>1</v>
      </c>
      <c r="BP56" s="7">
        <v>2</v>
      </c>
      <c r="BQ56" s="7">
        <v>1</v>
      </c>
      <c r="BR56" s="7">
        <v>1</v>
      </c>
      <c r="BS56" s="7">
        <v>0</v>
      </c>
      <c r="BT56" s="7">
        <v>2</v>
      </c>
      <c r="BU56" s="7">
        <v>0</v>
      </c>
      <c r="BV56" s="7">
        <v>3</v>
      </c>
      <c r="BW56" s="7">
        <v>2</v>
      </c>
      <c r="BX56" s="7">
        <v>1</v>
      </c>
      <c r="BY56" s="7">
        <v>0</v>
      </c>
      <c r="BZ56" s="7">
        <v>5</v>
      </c>
      <c r="CA56" s="7">
        <v>4</v>
      </c>
      <c r="CB56" s="7">
        <v>33</v>
      </c>
      <c r="CC56" s="7">
        <v>18</v>
      </c>
      <c r="CD56" s="7">
        <v>49</v>
      </c>
      <c r="CE56" s="7">
        <v>26</v>
      </c>
      <c r="CF56" s="7">
        <v>0</v>
      </c>
      <c r="CG56" s="7">
        <v>0</v>
      </c>
      <c r="CH56" s="7">
        <v>1035</v>
      </c>
      <c r="CI56" s="7">
        <v>221</v>
      </c>
      <c r="CJ56" s="7">
        <v>6170</v>
      </c>
      <c r="CK56" s="7">
        <v>1102</v>
      </c>
      <c r="CL56" s="7">
        <v>58</v>
      </c>
      <c r="CM56" s="7">
        <v>77</v>
      </c>
      <c r="CN56" s="7">
        <v>123</v>
      </c>
      <c r="CO56" s="7">
        <v>192</v>
      </c>
      <c r="CP56" s="7">
        <v>194</v>
      </c>
      <c r="CQ56" s="7">
        <v>612</v>
      </c>
      <c r="CR56" s="7">
        <v>939</v>
      </c>
      <c r="CS56" s="7">
        <v>3767</v>
      </c>
      <c r="CT56" s="7">
        <v>822</v>
      </c>
      <c r="CU56" s="7">
        <v>241</v>
      </c>
      <c r="CV56" s="7">
        <v>79</v>
      </c>
      <c r="CW56" s="7">
        <v>124</v>
      </c>
      <c r="CX56" s="7">
        <v>2</v>
      </c>
      <c r="CY56" s="7">
        <v>3590</v>
      </c>
      <c r="CZ56" s="7">
        <v>3350</v>
      </c>
      <c r="DA56" s="7">
        <v>13</v>
      </c>
      <c r="DB56" s="7">
        <v>58</v>
      </c>
      <c r="DC56" s="7">
        <v>0</v>
      </c>
      <c r="DD56" s="7">
        <v>3564</v>
      </c>
      <c r="DE56" s="7">
        <v>2664</v>
      </c>
      <c r="DF56" s="7">
        <v>1044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33</v>
      </c>
      <c r="DM56" s="7">
        <v>8</v>
      </c>
      <c r="DN56" s="7">
        <v>1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36</v>
      </c>
      <c r="DU56" s="7">
        <v>35</v>
      </c>
      <c r="DV56" s="7">
        <v>20</v>
      </c>
      <c r="DW56" s="7">
        <v>16</v>
      </c>
      <c r="DX56" s="7">
        <v>13</v>
      </c>
      <c r="DY56" s="7">
        <v>7</v>
      </c>
      <c r="DZ56" s="7">
        <v>13</v>
      </c>
      <c r="EA56" s="7">
        <v>7</v>
      </c>
      <c r="EB56" s="7">
        <v>3</v>
      </c>
      <c r="EC56" s="7">
        <v>2</v>
      </c>
      <c r="ED56" s="7">
        <v>1</v>
      </c>
      <c r="EE56" s="7">
        <v>0</v>
      </c>
      <c r="EF56" s="7">
        <v>12</v>
      </c>
      <c r="EG56" s="7">
        <v>10</v>
      </c>
      <c r="EH56" s="7">
        <v>44</v>
      </c>
      <c r="EI56" s="7">
        <v>24</v>
      </c>
      <c r="EJ56" s="7">
        <v>15</v>
      </c>
      <c r="EK56" s="7">
        <v>6</v>
      </c>
      <c r="EL56" s="7">
        <v>4</v>
      </c>
      <c r="EM56" s="7">
        <v>1</v>
      </c>
      <c r="EN56" s="7">
        <v>10</v>
      </c>
      <c r="EO56" s="7">
        <v>1699</v>
      </c>
      <c r="EP56" s="7">
        <v>1690</v>
      </c>
      <c r="EQ56" s="7">
        <v>9</v>
      </c>
      <c r="ER56" s="7">
        <v>660</v>
      </c>
      <c r="ES56" s="7">
        <v>265</v>
      </c>
      <c r="ET56" s="7">
        <v>262</v>
      </c>
      <c r="EU56" s="7">
        <v>3</v>
      </c>
      <c r="EV56" s="7">
        <v>2177</v>
      </c>
      <c r="EW56" s="134">
        <v>77.700077699999994</v>
      </c>
      <c r="EX56" s="134">
        <v>4.6620046620000002</v>
      </c>
      <c r="EY56" s="134">
        <v>4.1958041958000001</v>
      </c>
      <c r="EZ56" s="134">
        <v>13.053613053999999</v>
      </c>
      <c r="FA56" s="134">
        <v>0.38850038850000002</v>
      </c>
      <c r="FB56" s="7">
        <v>81</v>
      </c>
      <c r="FC56" s="7">
        <v>1222</v>
      </c>
      <c r="FD56" s="7">
        <v>37</v>
      </c>
      <c r="FE56" s="7">
        <v>353</v>
      </c>
      <c r="FF56" s="7">
        <v>1</v>
      </c>
      <c r="FG56" s="7">
        <v>158</v>
      </c>
      <c r="FH56" s="7">
        <v>108</v>
      </c>
      <c r="FI56" s="134">
        <v>80.730380729999993</v>
      </c>
      <c r="FJ56" s="134">
        <v>5.8275058274999996</v>
      </c>
      <c r="FK56" s="134">
        <v>10.722610723000001</v>
      </c>
      <c r="FL56" s="134">
        <v>2.7195027194999999</v>
      </c>
      <c r="FM56" s="151">
        <v>2418</v>
      </c>
      <c r="FN56" s="151">
        <v>1218</v>
      </c>
      <c r="FO56" s="7">
        <v>425</v>
      </c>
      <c r="FP56" s="7">
        <v>66</v>
      </c>
      <c r="FQ56" s="7">
        <v>6</v>
      </c>
      <c r="FR56" s="7">
        <v>0</v>
      </c>
      <c r="FS56" s="7">
        <v>1857</v>
      </c>
      <c r="FT56" s="7">
        <v>13</v>
      </c>
      <c r="FU56" s="7">
        <v>53</v>
      </c>
      <c r="FV56" s="7">
        <v>13</v>
      </c>
      <c r="FW56" s="7">
        <v>2495</v>
      </c>
      <c r="FX56" s="7">
        <v>1118</v>
      </c>
      <c r="FY56" s="7">
        <v>409</v>
      </c>
      <c r="FZ56" s="7">
        <v>48</v>
      </c>
      <c r="GA56" s="7">
        <v>9</v>
      </c>
      <c r="GB56" s="7">
        <v>0</v>
      </c>
      <c r="GC56" s="7">
        <v>1981</v>
      </c>
      <c r="GD56" s="7">
        <v>8</v>
      </c>
      <c r="GE56" s="7">
        <v>41</v>
      </c>
      <c r="GF56" s="7">
        <v>10</v>
      </c>
      <c r="GG56" s="7">
        <v>342</v>
      </c>
      <c r="GH56" s="7">
        <v>386</v>
      </c>
      <c r="GI56" s="7">
        <v>335</v>
      </c>
      <c r="GJ56" s="7">
        <v>265</v>
      </c>
      <c r="GK56" s="7">
        <v>146</v>
      </c>
      <c r="GL56" s="7">
        <v>146</v>
      </c>
      <c r="GM56" s="7">
        <v>134</v>
      </c>
      <c r="GN56" s="7">
        <v>113</v>
      </c>
      <c r="GO56" s="7">
        <v>102</v>
      </c>
      <c r="GP56" s="7">
        <v>93</v>
      </c>
      <c r="GQ56" s="7">
        <v>66</v>
      </c>
      <c r="GR56" s="7">
        <v>66</v>
      </c>
      <c r="GS56" s="7">
        <v>55</v>
      </c>
      <c r="GT56" s="7">
        <v>43</v>
      </c>
      <c r="GU56" s="7">
        <v>56</v>
      </c>
      <c r="GV56" s="7">
        <v>34</v>
      </c>
      <c r="GW56" s="7">
        <v>14</v>
      </c>
      <c r="GX56" s="7">
        <v>18</v>
      </c>
      <c r="GY56" s="7">
        <v>324</v>
      </c>
      <c r="GZ56" s="7">
        <v>318</v>
      </c>
      <c r="HA56" s="7">
        <v>352</v>
      </c>
      <c r="HB56" s="7">
        <v>255</v>
      </c>
      <c r="HC56" s="7">
        <v>187</v>
      </c>
      <c r="HD56" s="7">
        <v>159</v>
      </c>
      <c r="HE56" s="7">
        <v>173</v>
      </c>
      <c r="HF56" s="7">
        <v>146</v>
      </c>
      <c r="HG56" s="7">
        <v>112</v>
      </c>
      <c r="HH56" s="7">
        <v>88</v>
      </c>
      <c r="HI56" s="7">
        <v>74</v>
      </c>
      <c r="HJ56" s="7">
        <v>71</v>
      </c>
      <c r="HK56" s="7">
        <v>50</v>
      </c>
      <c r="HL56" s="7">
        <v>56</v>
      </c>
      <c r="HM56" s="7">
        <v>59</v>
      </c>
      <c r="HN56" s="7">
        <v>27</v>
      </c>
      <c r="HO56" s="7">
        <v>19</v>
      </c>
      <c r="HP56" s="7">
        <v>24</v>
      </c>
      <c r="HQ56" s="7">
        <v>1252</v>
      </c>
      <c r="HR56" s="7">
        <v>0</v>
      </c>
      <c r="HS56" s="7">
        <v>0</v>
      </c>
      <c r="HT56" s="7">
        <v>0</v>
      </c>
      <c r="HU56" s="7">
        <v>0</v>
      </c>
      <c r="HV56" s="7">
        <v>0</v>
      </c>
      <c r="HW56" s="7">
        <v>0</v>
      </c>
      <c r="HX56" s="7">
        <v>4</v>
      </c>
      <c r="HY56" s="7">
        <v>58</v>
      </c>
      <c r="HZ56" s="7">
        <v>77</v>
      </c>
      <c r="IA56" s="7">
        <v>123</v>
      </c>
      <c r="IB56" s="7">
        <v>192</v>
      </c>
      <c r="IC56" s="7">
        <v>194</v>
      </c>
      <c r="ID56" s="7">
        <v>163</v>
      </c>
      <c r="IE56" s="7">
        <v>143</v>
      </c>
      <c r="IF56" s="7">
        <v>107</v>
      </c>
      <c r="IG56" s="7">
        <v>199</v>
      </c>
      <c r="IH56" s="7">
        <v>33</v>
      </c>
      <c r="II56" s="7">
        <v>441</v>
      </c>
      <c r="IJ56" s="7">
        <v>468</v>
      </c>
      <c r="IK56" s="7">
        <v>172</v>
      </c>
      <c r="IL56" s="7">
        <v>79</v>
      </c>
      <c r="IM56" s="7">
        <v>29</v>
      </c>
      <c r="IN56" s="7">
        <v>9</v>
      </c>
      <c r="IO56" s="7">
        <v>5</v>
      </c>
      <c r="IP56" s="7">
        <v>3</v>
      </c>
      <c r="IQ56" s="7">
        <v>535</v>
      </c>
      <c r="IR56" s="7">
        <v>498</v>
      </c>
      <c r="IS56" s="7">
        <v>136</v>
      </c>
      <c r="IT56" s="7">
        <v>53</v>
      </c>
      <c r="IU56" s="7">
        <v>16</v>
      </c>
      <c r="IV56" s="7">
        <v>305</v>
      </c>
      <c r="IW56" s="7">
        <v>413</v>
      </c>
      <c r="IX56" s="7">
        <v>14</v>
      </c>
      <c r="IY56" s="7">
        <v>9</v>
      </c>
      <c r="IZ56" s="7">
        <v>0</v>
      </c>
      <c r="JA56" s="7">
        <v>502</v>
      </c>
      <c r="JB56" s="7">
        <v>131</v>
      </c>
      <c r="JC56" s="7">
        <v>701</v>
      </c>
      <c r="JD56" s="7">
        <v>4</v>
      </c>
      <c r="JE56" s="7">
        <v>37</v>
      </c>
      <c r="JF56" s="151">
        <v>1237.5192342268977</v>
      </c>
      <c r="JG56" s="151">
        <v>10.535753424681195</v>
      </c>
      <c r="JH56" s="7">
        <v>134</v>
      </c>
      <c r="JI56" s="7">
        <v>1074</v>
      </c>
      <c r="JJ56" s="7">
        <v>30</v>
      </c>
      <c r="JK56" s="7">
        <v>18</v>
      </c>
      <c r="JL56" s="7">
        <v>354</v>
      </c>
      <c r="JM56" s="7">
        <v>259</v>
      </c>
      <c r="JN56" s="7">
        <v>125</v>
      </c>
      <c r="JO56" s="7">
        <v>879</v>
      </c>
      <c r="JP56" s="7">
        <v>799</v>
      </c>
      <c r="JQ56" s="7">
        <v>58</v>
      </c>
      <c r="JR56" s="7">
        <v>131</v>
      </c>
      <c r="JS56" s="7">
        <v>51</v>
      </c>
      <c r="JT56" s="7">
        <v>7</v>
      </c>
      <c r="JU56" s="151">
        <v>67.014300471742672</v>
      </c>
      <c r="JV56" s="151">
        <v>492.24421738264596</v>
      </c>
      <c r="JW56" s="151">
        <v>676.18810914142421</v>
      </c>
      <c r="JX56" s="151">
        <v>2.0726072310848251</v>
      </c>
      <c r="JY56" s="7">
        <v>1179</v>
      </c>
      <c r="JZ56" s="7">
        <v>7259</v>
      </c>
      <c r="KA56" s="7">
        <v>0</v>
      </c>
      <c r="KB56" s="7">
        <v>0</v>
      </c>
      <c r="KC56" s="7">
        <v>0</v>
      </c>
      <c r="KD56" s="7">
        <v>0</v>
      </c>
      <c r="KE56" s="7">
        <v>0</v>
      </c>
      <c r="KF56" s="7">
        <v>0</v>
      </c>
      <c r="KG56" s="7">
        <v>13</v>
      </c>
      <c r="KH56" s="7">
        <v>744</v>
      </c>
      <c r="KI56" s="7">
        <v>6294</v>
      </c>
      <c r="KJ56" s="7">
        <v>154</v>
      </c>
      <c r="KK56" s="7">
        <v>80</v>
      </c>
      <c r="KL56" s="7">
        <v>388</v>
      </c>
      <c r="KM56" s="7">
        <v>2850</v>
      </c>
      <c r="KN56" s="7">
        <v>3915</v>
      </c>
      <c r="KO56" s="7">
        <v>12</v>
      </c>
      <c r="KP56" s="7">
        <v>7165</v>
      </c>
      <c r="KQ56" s="7">
        <v>61</v>
      </c>
      <c r="KR56" s="7">
        <v>1240</v>
      </c>
      <c r="KS56" s="7">
        <v>1240</v>
      </c>
      <c r="KT56" s="7">
        <v>261</v>
      </c>
      <c r="KU56" s="7">
        <v>61</v>
      </c>
      <c r="KV56" s="7">
        <v>199</v>
      </c>
      <c r="KW56" s="7">
        <v>1</v>
      </c>
      <c r="KX56" s="7">
        <v>227</v>
      </c>
      <c r="KY56" s="7">
        <v>80</v>
      </c>
      <c r="KZ56" s="7">
        <v>194</v>
      </c>
      <c r="LA56" s="7">
        <v>0</v>
      </c>
      <c r="LB56" s="7">
        <v>708</v>
      </c>
      <c r="LC56" s="7">
        <v>681</v>
      </c>
      <c r="LD56" s="7">
        <v>136</v>
      </c>
      <c r="LE56" s="7">
        <v>347</v>
      </c>
      <c r="LF56" s="7">
        <v>4244</v>
      </c>
      <c r="LG56" s="7">
        <v>6</v>
      </c>
      <c r="LH56" s="7">
        <v>1193</v>
      </c>
      <c r="LI56" s="7">
        <v>118</v>
      </c>
      <c r="LJ56" s="7">
        <v>391</v>
      </c>
      <c r="LK56" s="7">
        <v>1</v>
      </c>
      <c r="LL56" s="7">
        <v>226</v>
      </c>
      <c r="LM56" s="7">
        <v>70</v>
      </c>
      <c r="LN56" s="7">
        <v>4</v>
      </c>
      <c r="LO56" s="7">
        <v>1245</v>
      </c>
      <c r="LP56" s="7">
        <v>108</v>
      </c>
      <c r="LQ56" s="7">
        <v>301</v>
      </c>
      <c r="LR56" s="7">
        <v>1</v>
      </c>
      <c r="LS56" s="7">
        <v>209</v>
      </c>
      <c r="LT56" s="7">
        <v>62</v>
      </c>
      <c r="LU56" s="232">
        <v>6.1102697586000003</v>
      </c>
      <c r="LV56" s="232">
        <v>6.5247477174000004</v>
      </c>
      <c r="LW56" s="232">
        <v>5.7081585082000004</v>
      </c>
      <c r="LX56" s="7">
        <v>1256</v>
      </c>
      <c r="LY56" s="7">
        <v>7272</v>
      </c>
    </row>
    <row r="57" spans="1:337" x14ac:dyDescent="0.25">
      <c r="A57" t="s">
        <v>118</v>
      </c>
      <c r="B57" t="s">
        <v>119</v>
      </c>
      <c r="C57" s="7">
        <v>32245</v>
      </c>
      <c r="D57">
        <v>41266</v>
      </c>
      <c r="F57">
        <f t="shared" si="2"/>
        <v>-41266</v>
      </c>
      <c r="G57">
        <f t="shared" si="3"/>
        <v>-100</v>
      </c>
      <c r="H57">
        <v>20256</v>
      </c>
      <c r="I57">
        <v>21010</v>
      </c>
      <c r="J57">
        <v>13600</v>
      </c>
      <c r="K57">
        <v>27666</v>
      </c>
      <c r="L57" s="7">
        <v>2268</v>
      </c>
      <c r="M57" s="7">
        <v>2160</v>
      </c>
      <c r="N57" s="7">
        <v>2252</v>
      </c>
      <c r="O57" s="7">
        <v>2259</v>
      </c>
      <c r="P57" s="7">
        <v>2113</v>
      </c>
      <c r="Q57" s="7">
        <v>1651</v>
      </c>
      <c r="R57" s="7">
        <v>1509</v>
      </c>
      <c r="S57" s="7">
        <v>1412</v>
      </c>
      <c r="T57" s="7">
        <v>998</v>
      </c>
      <c r="U57" s="7">
        <v>849</v>
      </c>
      <c r="V57" s="7">
        <v>621</v>
      </c>
      <c r="W57" s="7">
        <v>570</v>
      </c>
      <c r="X57" s="7">
        <v>485</v>
      </c>
      <c r="Y57" s="7">
        <v>1074</v>
      </c>
      <c r="Z57" s="7">
        <v>35</v>
      </c>
      <c r="AA57" s="7">
        <v>2275</v>
      </c>
      <c r="AB57" s="7">
        <v>2201</v>
      </c>
      <c r="AC57" s="7">
        <v>2272</v>
      </c>
      <c r="AD57" s="7">
        <v>2391</v>
      </c>
      <c r="AE57" s="7">
        <v>2315</v>
      </c>
      <c r="AF57" s="7">
        <v>1896</v>
      </c>
      <c r="AG57" s="7">
        <v>1644</v>
      </c>
      <c r="AH57" s="7">
        <v>1464</v>
      </c>
      <c r="AI57" s="7">
        <v>1019</v>
      </c>
      <c r="AJ57" s="7">
        <v>886</v>
      </c>
      <c r="AK57" s="7">
        <v>600</v>
      </c>
      <c r="AL57" s="7">
        <v>540</v>
      </c>
      <c r="AM57" s="7">
        <v>455</v>
      </c>
      <c r="AN57" s="7">
        <v>1017</v>
      </c>
      <c r="AO57" s="7">
        <v>35</v>
      </c>
      <c r="AP57">
        <v>40627</v>
      </c>
      <c r="AQ57">
        <v>148</v>
      </c>
      <c r="AR57">
        <v>29</v>
      </c>
      <c r="AS57">
        <v>354</v>
      </c>
      <c r="AT57">
        <v>108</v>
      </c>
      <c r="AU57" s="7">
        <v>1796</v>
      </c>
      <c r="AV57" s="7">
        <v>918</v>
      </c>
      <c r="AW57" s="7">
        <v>878</v>
      </c>
      <c r="AX57" s="7">
        <v>1217</v>
      </c>
      <c r="AY57" s="7">
        <v>1796</v>
      </c>
      <c r="AZ57" s="7">
        <v>1768</v>
      </c>
      <c r="BA57" s="7">
        <v>28</v>
      </c>
      <c r="BB57" s="7">
        <v>42</v>
      </c>
      <c r="BC57" s="7">
        <v>62</v>
      </c>
      <c r="BD57" s="7">
        <v>106</v>
      </c>
      <c r="BE57" s="7">
        <v>117</v>
      </c>
      <c r="BF57" s="7">
        <v>135</v>
      </c>
      <c r="BG57" s="7">
        <v>119</v>
      </c>
      <c r="BH57" s="7">
        <v>131</v>
      </c>
      <c r="BI57" s="7">
        <v>128</v>
      </c>
      <c r="BJ57" s="7">
        <v>107</v>
      </c>
      <c r="BK57" s="7">
        <v>101</v>
      </c>
      <c r="BL57" s="7">
        <v>89</v>
      </c>
      <c r="BM57" s="7">
        <v>74</v>
      </c>
      <c r="BN57" s="7">
        <v>48</v>
      </c>
      <c r="BO57" s="7">
        <v>55</v>
      </c>
      <c r="BP57" s="7">
        <v>52</v>
      </c>
      <c r="BQ57" s="7">
        <v>45</v>
      </c>
      <c r="BR57" s="7">
        <v>25</v>
      </c>
      <c r="BS57" s="7">
        <v>38</v>
      </c>
      <c r="BT57" s="7">
        <v>42</v>
      </c>
      <c r="BU57" s="7">
        <v>42</v>
      </c>
      <c r="BV57" s="7">
        <v>33</v>
      </c>
      <c r="BW57" s="7">
        <v>29</v>
      </c>
      <c r="BX57" s="7">
        <v>25</v>
      </c>
      <c r="BY57" s="7">
        <v>16</v>
      </c>
      <c r="BZ57" s="7">
        <v>25</v>
      </c>
      <c r="CA57" s="7">
        <v>19</v>
      </c>
      <c r="CB57" s="7">
        <v>58</v>
      </c>
      <c r="CC57" s="7">
        <v>33</v>
      </c>
      <c r="CD57" s="7">
        <v>850</v>
      </c>
      <c r="CE57" s="7">
        <v>772</v>
      </c>
      <c r="CF57" s="7">
        <v>42</v>
      </c>
      <c r="CG57" s="7">
        <v>74</v>
      </c>
      <c r="CH57" s="7">
        <v>8189</v>
      </c>
      <c r="CI57" s="7">
        <v>857</v>
      </c>
      <c r="CJ57" s="7">
        <v>38319</v>
      </c>
      <c r="CK57" s="7">
        <v>2881</v>
      </c>
      <c r="CL57" s="7">
        <v>284</v>
      </c>
      <c r="CM57" s="7">
        <v>892</v>
      </c>
      <c r="CN57" s="7">
        <v>1536</v>
      </c>
      <c r="CO57" s="7">
        <v>2270</v>
      </c>
      <c r="CP57" s="7">
        <v>1811</v>
      </c>
      <c r="CQ57" s="7">
        <v>2253</v>
      </c>
      <c r="CR57" s="7">
        <v>7895</v>
      </c>
      <c r="CS57" s="7">
        <v>19446</v>
      </c>
      <c r="CT57" s="7">
        <v>2184</v>
      </c>
      <c r="CU57" s="7">
        <v>1373</v>
      </c>
      <c r="CV57" s="7">
        <v>502</v>
      </c>
      <c r="CW57" s="7">
        <v>614</v>
      </c>
      <c r="CX57" s="7">
        <v>54</v>
      </c>
      <c r="CY57" s="7">
        <v>26504</v>
      </c>
      <c r="CZ57" s="7">
        <v>13795</v>
      </c>
      <c r="DA57" s="7">
        <v>183</v>
      </c>
      <c r="DB57" s="7">
        <v>284</v>
      </c>
      <c r="DC57" s="7">
        <v>14</v>
      </c>
      <c r="DD57" s="7">
        <v>5868</v>
      </c>
      <c r="DE57" s="7">
        <v>4716</v>
      </c>
      <c r="DF57" s="7">
        <v>17082</v>
      </c>
      <c r="DG57" s="7">
        <v>3041</v>
      </c>
      <c r="DH57" s="7">
        <v>10559</v>
      </c>
      <c r="DI57" s="7">
        <v>0</v>
      </c>
      <c r="DJ57" s="7">
        <v>0</v>
      </c>
      <c r="DK57" s="7">
        <v>0</v>
      </c>
      <c r="DL57" s="7">
        <v>77</v>
      </c>
      <c r="DM57" s="7">
        <v>14</v>
      </c>
      <c r="DN57" s="7">
        <v>18</v>
      </c>
      <c r="DO57" s="7">
        <v>1</v>
      </c>
      <c r="DP57" s="7">
        <v>2</v>
      </c>
      <c r="DQ57" s="7">
        <v>0</v>
      </c>
      <c r="DR57" s="7">
        <v>0</v>
      </c>
      <c r="DS57" s="7">
        <v>0</v>
      </c>
      <c r="DT57" s="7">
        <v>225</v>
      </c>
      <c r="DU57" s="7">
        <v>216</v>
      </c>
      <c r="DV57" s="7">
        <v>120</v>
      </c>
      <c r="DW57" s="7">
        <v>115</v>
      </c>
      <c r="DX57" s="7">
        <v>70</v>
      </c>
      <c r="DY57" s="7">
        <v>43</v>
      </c>
      <c r="DZ57" s="7">
        <v>56</v>
      </c>
      <c r="EA57" s="7">
        <v>56</v>
      </c>
      <c r="EB57" s="7">
        <v>19</v>
      </c>
      <c r="EC57" s="7">
        <v>27</v>
      </c>
      <c r="ED57" s="7">
        <v>18</v>
      </c>
      <c r="EE57" s="7">
        <v>22</v>
      </c>
      <c r="EF57" s="7">
        <v>44</v>
      </c>
      <c r="EG57" s="7">
        <v>54</v>
      </c>
      <c r="EH57" s="7">
        <v>124</v>
      </c>
      <c r="EI57" s="7">
        <v>64</v>
      </c>
      <c r="EJ57" s="7">
        <v>37</v>
      </c>
      <c r="EK57" s="7">
        <v>21</v>
      </c>
      <c r="EL57" s="7">
        <v>4</v>
      </c>
      <c r="EM57" s="7">
        <v>4</v>
      </c>
      <c r="EN57" s="7">
        <v>19</v>
      </c>
      <c r="EO57" s="7">
        <v>12790</v>
      </c>
      <c r="EP57" s="7">
        <v>12632</v>
      </c>
      <c r="EQ57" s="7">
        <v>158</v>
      </c>
      <c r="ER57" s="7">
        <v>2023</v>
      </c>
      <c r="ES57" s="7">
        <v>1039</v>
      </c>
      <c r="ET57" s="7">
        <v>1031</v>
      </c>
      <c r="EU57" s="7">
        <v>8</v>
      </c>
      <c r="EV57" s="7">
        <v>14438</v>
      </c>
      <c r="EW57" s="134">
        <v>86.434688051999998</v>
      </c>
      <c r="EX57" s="134">
        <v>4.4991164877000003</v>
      </c>
      <c r="EY57" s="134">
        <v>3.3777354900000001</v>
      </c>
      <c r="EZ57" s="134">
        <v>5.4234062797</v>
      </c>
      <c r="FA57" s="134">
        <v>0.26505369039999999</v>
      </c>
      <c r="FB57" s="7">
        <v>1492</v>
      </c>
      <c r="FC57" s="7">
        <v>9253</v>
      </c>
      <c r="FD57" s="7">
        <v>373</v>
      </c>
      <c r="FE57" s="7">
        <v>2001</v>
      </c>
      <c r="FF57" s="7">
        <v>0</v>
      </c>
      <c r="FG57" s="7">
        <v>552</v>
      </c>
      <c r="FH57" s="7">
        <v>149</v>
      </c>
      <c r="FI57" s="134">
        <v>73.882017126999997</v>
      </c>
      <c r="FJ57" s="134">
        <v>16.711974990000002</v>
      </c>
      <c r="FK57" s="134">
        <v>5.8651624302999998</v>
      </c>
      <c r="FL57" s="134">
        <v>3.5408454532999998</v>
      </c>
      <c r="FM57" s="151">
        <v>5667</v>
      </c>
      <c r="FN57" s="151">
        <v>14533</v>
      </c>
      <c r="FO57" s="7">
        <v>843</v>
      </c>
      <c r="FP57" s="7">
        <v>78</v>
      </c>
      <c r="FQ57" s="7">
        <v>6</v>
      </c>
      <c r="FR57" s="7">
        <v>1</v>
      </c>
      <c r="FS57" s="7">
        <v>4685</v>
      </c>
      <c r="FT57" s="7">
        <v>9</v>
      </c>
      <c r="FU57" s="7">
        <v>64</v>
      </c>
      <c r="FV57" s="7">
        <v>56</v>
      </c>
      <c r="FW57" s="7">
        <v>6197</v>
      </c>
      <c r="FX57" s="7">
        <v>14758</v>
      </c>
      <c r="FY57" s="7">
        <v>844</v>
      </c>
      <c r="FZ57" s="7">
        <v>85</v>
      </c>
      <c r="GA57" s="7">
        <v>5</v>
      </c>
      <c r="GB57" s="7">
        <v>1</v>
      </c>
      <c r="GC57" s="7">
        <v>5218</v>
      </c>
      <c r="GD57" s="7">
        <v>4</v>
      </c>
      <c r="GE57" s="7">
        <v>64</v>
      </c>
      <c r="GF57" s="7">
        <v>55</v>
      </c>
      <c r="GG57" s="7">
        <v>654</v>
      </c>
      <c r="GH57" s="7">
        <v>638</v>
      </c>
      <c r="GI57" s="7">
        <v>623</v>
      </c>
      <c r="GJ57" s="7">
        <v>561</v>
      </c>
      <c r="GK57" s="7">
        <v>491</v>
      </c>
      <c r="GL57" s="7">
        <v>470</v>
      </c>
      <c r="GM57" s="7">
        <v>436</v>
      </c>
      <c r="GN57" s="7">
        <v>415</v>
      </c>
      <c r="GO57" s="7">
        <v>260</v>
      </c>
      <c r="GP57" s="7">
        <v>228</v>
      </c>
      <c r="GQ57" s="7">
        <v>196</v>
      </c>
      <c r="GR57" s="7">
        <v>150</v>
      </c>
      <c r="GS57" s="7">
        <v>127</v>
      </c>
      <c r="GT57" s="7">
        <v>144</v>
      </c>
      <c r="GU57" s="7">
        <v>131</v>
      </c>
      <c r="GV57" s="7">
        <v>75</v>
      </c>
      <c r="GW57" s="7">
        <v>31</v>
      </c>
      <c r="GX57" s="7">
        <v>37</v>
      </c>
      <c r="GY57" s="7">
        <v>669</v>
      </c>
      <c r="GZ57" s="7">
        <v>674</v>
      </c>
      <c r="HA57" s="7">
        <v>690</v>
      </c>
      <c r="HB57" s="7">
        <v>606</v>
      </c>
      <c r="HC57" s="7">
        <v>646</v>
      </c>
      <c r="HD57" s="7">
        <v>621</v>
      </c>
      <c r="HE57" s="7">
        <v>514</v>
      </c>
      <c r="HF57" s="7">
        <v>412</v>
      </c>
      <c r="HG57" s="7">
        <v>278</v>
      </c>
      <c r="HH57" s="7">
        <v>263</v>
      </c>
      <c r="HI57" s="7">
        <v>168</v>
      </c>
      <c r="HJ57" s="7">
        <v>151</v>
      </c>
      <c r="HK57" s="7">
        <v>136</v>
      </c>
      <c r="HL57" s="7">
        <v>135</v>
      </c>
      <c r="HM57" s="7">
        <v>121</v>
      </c>
      <c r="HN57" s="7">
        <v>56</v>
      </c>
      <c r="HO57" s="7">
        <v>28</v>
      </c>
      <c r="HP57" s="7">
        <v>28</v>
      </c>
      <c r="HQ57" s="7">
        <v>9022</v>
      </c>
      <c r="HR57" s="7">
        <v>1</v>
      </c>
      <c r="HS57" s="7">
        <v>6</v>
      </c>
      <c r="HT57" s="7">
        <v>1</v>
      </c>
      <c r="HU57" s="7">
        <v>0</v>
      </c>
      <c r="HV57" s="7">
        <v>0</v>
      </c>
      <c r="HW57" s="7">
        <v>0</v>
      </c>
      <c r="HX57" s="7">
        <v>38</v>
      </c>
      <c r="HY57" s="7">
        <v>284</v>
      </c>
      <c r="HZ57" s="7">
        <v>892</v>
      </c>
      <c r="IA57" s="7">
        <v>1536</v>
      </c>
      <c r="IB57" s="7">
        <v>2270</v>
      </c>
      <c r="IC57" s="7">
        <v>1811</v>
      </c>
      <c r="ID57" s="7">
        <v>989</v>
      </c>
      <c r="IE57" s="7">
        <v>542</v>
      </c>
      <c r="IF57" s="7">
        <v>305</v>
      </c>
      <c r="IG57" s="7">
        <v>417</v>
      </c>
      <c r="IH57" s="7">
        <v>307</v>
      </c>
      <c r="II57" s="7">
        <v>2151</v>
      </c>
      <c r="IJ57" s="7">
        <v>2893</v>
      </c>
      <c r="IK57" s="7">
        <v>2192</v>
      </c>
      <c r="IL57" s="7">
        <v>965</v>
      </c>
      <c r="IM57" s="7">
        <v>361</v>
      </c>
      <c r="IN57" s="7">
        <v>101</v>
      </c>
      <c r="IO57" s="7">
        <v>28</v>
      </c>
      <c r="IP57" s="7">
        <v>21</v>
      </c>
      <c r="IQ57" s="7">
        <v>4172</v>
      </c>
      <c r="IR57" s="7">
        <v>3294</v>
      </c>
      <c r="IS57" s="7">
        <v>1141</v>
      </c>
      <c r="IT57" s="7">
        <v>360</v>
      </c>
      <c r="IU57" s="7">
        <v>61</v>
      </c>
      <c r="IV57" s="7">
        <v>700</v>
      </c>
      <c r="IW57" s="7">
        <v>7348</v>
      </c>
      <c r="IX57" s="7">
        <v>87</v>
      </c>
      <c r="IY57" s="7">
        <v>200</v>
      </c>
      <c r="IZ57" s="7">
        <v>4</v>
      </c>
      <c r="JA57" s="7">
        <v>689</v>
      </c>
      <c r="JB57" s="7">
        <v>135</v>
      </c>
      <c r="JC57" s="7">
        <v>4689</v>
      </c>
      <c r="JD57" s="7">
        <v>3</v>
      </c>
      <c r="JE57" s="7">
        <v>0</v>
      </c>
      <c r="JF57" s="151">
        <v>8915.7995204302388</v>
      </c>
      <c r="JG57" s="151">
        <v>122.95534591181161</v>
      </c>
      <c r="JH57" s="7">
        <v>2022</v>
      </c>
      <c r="JI57" s="7">
        <v>6744</v>
      </c>
      <c r="JJ57" s="7">
        <v>264</v>
      </c>
      <c r="JK57" s="7">
        <v>16</v>
      </c>
      <c r="JL57" s="7">
        <v>3016</v>
      </c>
      <c r="JM57" s="7">
        <v>3095</v>
      </c>
      <c r="JN57" s="7">
        <v>2053</v>
      </c>
      <c r="JO57" s="7">
        <v>5862</v>
      </c>
      <c r="JP57" s="7">
        <v>6786</v>
      </c>
      <c r="JQ57" s="7">
        <v>158</v>
      </c>
      <c r="JR57" s="7">
        <v>855</v>
      </c>
      <c r="JS57" s="7">
        <v>2541</v>
      </c>
      <c r="JT57" s="7">
        <v>18</v>
      </c>
      <c r="JU57" s="151">
        <v>923.04334680938564</v>
      </c>
      <c r="JV57" s="151">
        <v>3010.6494698977867</v>
      </c>
      <c r="JW57" s="151">
        <v>4953.5634984221097</v>
      </c>
      <c r="JX57" s="151">
        <v>28.543205300956263</v>
      </c>
      <c r="JY57" s="7">
        <v>8810</v>
      </c>
      <c r="JZ57" s="7">
        <v>41083</v>
      </c>
      <c r="KA57" s="7">
        <v>5</v>
      </c>
      <c r="KB57" s="7">
        <v>39</v>
      </c>
      <c r="KC57" s="7">
        <v>4</v>
      </c>
      <c r="KD57" s="7">
        <v>0</v>
      </c>
      <c r="KE57" s="7">
        <v>0</v>
      </c>
      <c r="KF57" s="7">
        <v>0</v>
      </c>
      <c r="KG57" s="7">
        <v>135</v>
      </c>
      <c r="KH57" s="7">
        <v>9759</v>
      </c>
      <c r="KI57" s="7">
        <v>30268</v>
      </c>
      <c r="KJ57" s="7">
        <v>1116</v>
      </c>
      <c r="KK57" s="7">
        <v>57</v>
      </c>
      <c r="KL57" s="7">
        <v>4204</v>
      </c>
      <c r="KM57" s="7">
        <v>13712</v>
      </c>
      <c r="KN57" s="7">
        <v>22561</v>
      </c>
      <c r="KO57" s="7">
        <v>130</v>
      </c>
      <c r="KP57" s="7">
        <v>40607</v>
      </c>
      <c r="KQ57" s="7">
        <v>560</v>
      </c>
      <c r="KR57" s="7">
        <v>4833</v>
      </c>
      <c r="KS57" s="7">
        <v>4833</v>
      </c>
      <c r="KT57" s="7">
        <v>1081</v>
      </c>
      <c r="KU57" s="7">
        <v>311</v>
      </c>
      <c r="KV57" s="7">
        <v>684</v>
      </c>
      <c r="KW57" s="7">
        <v>0</v>
      </c>
      <c r="KX57" s="7">
        <v>1153</v>
      </c>
      <c r="KY57" s="7">
        <v>241</v>
      </c>
      <c r="KZ57" s="7">
        <v>513</v>
      </c>
      <c r="LA57" s="7">
        <v>0</v>
      </c>
      <c r="LB57" s="7">
        <v>3057</v>
      </c>
      <c r="LC57" s="7">
        <v>3098</v>
      </c>
      <c r="LD57" s="7">
        <v>1464</v>
      </c>
      <c r="LE57" s="7">
        <v>3125</v>
      </c>
      <c r="LF57" s="7">
        <v>27768</v>
      </c>
      <c r="LG57" s="7">
        <v>38</v>
      </c>
      <c r="LH57" s="7">
        <v>8726</v>
      </c>
      <c r="LI57" s="7">
        <v>568</v>
      </c>
      <c r="LJ57" s="7">
        <v>1928</v>
      </c>
      <c r="LK57" s="7">
        <v>0</v>
      </c>
      <c r="LL57" s="7">
        <v>649</v>
      </c>
      <c r="LM57" s="7">
        <v>198</v>
      </c>
      <c r="LN57" s="7">
        <v>52</v>
      </c>
      <c r="LO57" s="7">
        <v>9227</v>
      </c>
      <c r="LP57" s="7">
        <v>427</v>
      </c>
      <c r="LQ57" s="7">
        <v>1539</v>
      </c>
      <c r="LR57" s="7">
        <v>0</v>
      </c>
      <c r="LS57" s="7">
        <v>442</v>
      </c>
      <c r="LT57" s="7">
        <v>67</v>
      </c>
      <c r="LU57" s="232">
        <v>4.9518571943999996</v>
      </c>
      <c r="LV57" s="232">
        <v>5.3557215769999997</v>
      </c>
      <c r="LW57" s="232">
        <v>4.5676588558000004</v>
      </c>
      <c r="LX57" s="7">
        <v>9046</v>
      </c>
      <c r="LY57" s="7">
        <v>41200</v>
      </c>
    </row>
    <row r="58" spans="1:337" x14ac:dyDescent="0.25">
      <c r="A58" t="s">
        <v>136</v>
      </c>
      <c r="B58" t="s">
        <v>137</v>
      </c>
      <c r="C58" s="7">
        <v>5288</v>
      </c>
      <c r="D58">
        <v>4974</v>
      </c>
      <c r="F58">
        <f t="shared" si="2"/>
        <v>-4974</v>
      </c>
      <c r="G58">
        <f t="shared" si="3"/>
        <v>-100</v>
      </c>
      <c r="H58">
        <v>2441</v>
      </c>
      <c r="I58">
        <v>2533</v>
      </c>
      <c r="J58">
        <v>0</v>
      </c>
      <c r="K58">
        <v>4974</v>
      </c>
      <c r="L58" s="7">
        <v>216</v>
      </c>
      <c r="M58" s="7">
        <v>198</v>
      </c>
      <c r="N58" s="7">
        <v>209</v>
      </c>
      <c r="O58" s="7">
        <v>230</v>
      </c>
      <c r="P58" s="7">
        <v>177</v>
      </c>
      <c r="Q58" s="7">
        <v>160</v>
      </c>
      <c r="R58" s="7">
        <v>187</v>
      </c>
      <c r="S58" s="7">
        <v>203</v>
      </c>
      <c r="T58" s="7">
        <v>164</v>
      </c>
      <c r="U58" s="7">
        <v>147</v>
      </c>
      <c r="V58" s="7">
        <v>146</v>
      </c>
      <c r="W58" s="7">
        <v>111</v>
      </c>
      <c r="X58" s="7">
        <v>95</v>
      </c>
      <c r="Y58" s="7">
        <v>197</v>
      </c>
      <c r="Z58" s="7">
        <v>1</v>
      </c>
      <c r="AA58" s="7">
        <v>207</v>
      </c>
      <c r="AB58" s="7">
        <v>206</v>
      </c>
      <c r="AC58" s="7">
        <v>217</v>
      </c>
      <c r="AD58" s="7">
        <v>255</v>
      </c>
      <c r="AE58" s="7">
        <v>213</v>
      </c>
      <c r="AF58" s="7">
        <v>204</v>
      </c>
      <c r="AG58" s="7">
        <v>178</v>
      </c>
      <c r="AH58" s="7">
        <v>213</v>
      </c>
      <c r="AI58" s="7">
        <v>161</v>
      </c>
      <c r="AJ58" s="7">
        <v>156</v>
      </c>
      <c r="AK58" s="7">
        <v>127</v>
      </c>
      <c r="AL58" s="7">
        <v>108</v>
      </c>
      <c r="AM58" s="7">
        <v>89</v>
      </c>
      <c r="AN58" s="7">
        <v>197</v>
      </c>
      <c r="AO58" s="7">
        <v>2</v>
      </c>
      <c r="AP58">
        <v>4260</v>
      </c>
      <c r="AQ58">
        <v>697</v>
      </c>
      <c r="AR58" t="s">
        <v>358</v>
      </c>
      <c r="AS58" t="s">
        <v>358</v>
      </c>
      <c r="AT58">
        <v>17</v>
      </c>
      <c r="AU58" s="7">
        <v>115</v>
      </c>
      <c r="AV58" s="7">
        <v>65</v>
      </c>
      <c r="AW58" s="7">
        <v>50</v>
      </c>
      <c r="AX58" s="7">
        <v>73</v>
      </c>
      <c r="AY58" s="7">
        <v>115</v>
      </c>
      <c r="AZ58" s="7">
        <v>115</v>
      </c>
      <c r="BA58" s="7">
        <v>0</v>
      </c>
      <c r="BB58" s="7">
        <v>3</v>
      </c>
      <c r="BC58" s="7">
        <v>2</v>
      </c>
      <c r="BD58" s="7">
        <v>7</v>
      </c>
      <c r="BE58" s="7">
        <v>10</v>
      </c>
      <c r="BF58" s="7">
        <v>9</v>
      </c>
      <c r="BG58" s="7">
        <v>5</v>
      </c>
      <c r="BH58" s="7">
        <v>10</v>
      </c>
      <c r="BI58" s="7">
        <v>2</v>
      </c>
      <c r="BJ58" s="7">
        <v>3</v>
      </c>
      <c r="BK58" s="7">
        <v>4</v>
      </c>
      <c r="BL58" s="7">
        <v>2</v>
      </c>
      <c r="BM58" s="7">
        <v>5</v>
      </c>
      <c r="BN58" s="7">
        <v>7</v>
      </c>
      <c r="BO58" s="7">
        <v>4</v>
      </c>
      <c r="BP58" s="7">
        <v>7</v>
      </c>
      <c r="BQ58" s="7">
        <v>8</v>
      </c>
      <c r="BR58" s="7">
        <v>6</v>
      </c>
      <c r="BS58" s="7">
        <v>4</v>
      </c>
      <c r="BT58" s="7">
        <v>5</v>
      </c>
      <c r="BU58" s="7">
        <v>4</v>
      </c>
      <c r="BV58" s="7">
        <v>2</v>
      </c>
      <c r="BW58" s="7">
        <v>0</v>
      </c>
      <c r="BX58" s="7">
        <v>1</v>
      </c>
      <c r="BY58" s="7">
        <v>1</v>
      </c>
      <c r="BZ58" s="7">
        <v>1</v>
      </c>
      <c r="CA58" s="7">
        <v>0</v>
      </c>
      <c r="CB58" s="7">
        <v>2</v>
      </c>
      <c r="CC58" s="7">
        <v>1</v>
      </c>
      <c r="CD58" s="7">
        <v>61</v>
      </c>
      <c r="CE58" s="7">
        <v>45</v>
      </c>
      <c r="CF58" s="7">
        <v>1</v>
      </c>
      <c r="CG58" s="7">
        <v>5</v>
      </c>
      <c r="CH58" s="7">
        <v>1147</v>
      </c>
      <c r="CI58" s="7">
        <v>264</v>
      </c>
      <c r="CJ58" s="7">
        <v>4211</v>
      </c>
      <c r="CK58" s="7">
        <v>760</v>
      </c>
      <c r="CL58" s="7">
        <v>112</v>
      </c>
      <c r="CM58" s="7">
        <v>296</v>
      </c>
      <c r="CN58" s="7">
        <v>335</v>
      </c>
      <c r="CO58" s="7">
        <v>326</v>
      </c>
      <c r="CP58" s="7">
        <v>204</v>
      </c>
      <c r="CQ58" s="7">
        <v>138</v>
      </c>
      <c r="CR58" s="7">
        <v>1080</v>
      </c>
      <c r="CS58" s="7">
        <v>1988</v>
      </c>
      <c r="CT58" s="7">
        <v>224</v>
      </c>
      <c r="CU58" s="7">
        <v>81</v>
      </c>
      <c r="CV58" s="7">
        <v>33</v>
      </c>
      <c r="CW58" s="7">
        <v>127</v>
      </c>
      <c r="CX58" s="7">
        <v>14</v>
      </c>
      <c r="CY58" s="7">
        <v>3507</v>
      </c>
      <c r="CZ58" s="7">
        <v>1235</v>
      </c>
      <c r="DA58" s="7">
        <v>44</v>
      </c>
      <c r="DB58" s="7">
        <v>112</v>
      </c>
      <c r="DC58" s="7">
        <v>4</v>
      </c>
      <c r="DD58" s="7">
        <v>1623</v>
      </c>
      <c r="DE58" s="7">
        <v>0</v>
      </c>
      <c r="DF58" s="7">
        <v>3351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61</v>
      </c>
      <c r="DM58" s="7">
        <v>0</v>
      </c>
      <c r="DN58" s="7">
        <v>3</v>
      </c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38</v>
      </c>
      <c r="DU58" s="7">
        <v>39</v>
      </c>
      <c r="DV58" s="7">
        <v>25</v>
      </c>
      <c r="DW58" s="7">
        <v>25</v>
      </c>
      <c r="DX58" s="7">
        <v>0</v>
      </c>
      <c r="DY58" s="7">
        <v>4</v>
      </c>
      <c r="DZ58" s="7">
        <v>8</v>
      </c>
      <c r="EA58" s="7">
        <v>9</v>
      </c>
      <c r="EB58" s="7">
        <v>4</v>
      </c>
      <c r="EC58" s="7">
        <v>4</v>
      </c>
      <c r="ED58" s="7">
        <v>1</v>
      </c>
      <c r="EE58" s="7">
        <v>4</v>
      </c>
      <c r="EF58" s="7">
        <v>12</v>
      </c>
      <c r="EG58" s="7">
        <v>9</v>
      </c>
      <c r="EH58" s="7">
        <v>53</v>
      </c>
      <c r="EI58" s="7">
        <v>40</v>
      </c>
      <c r="EJ58" s="7">
        <v>4</v>
      </c>
      <c r="EK58" s="7">
        <v>12</v>
      </c>
      <c r="EL58" s="7">
        <v>5</v>
      </c>
      <c r="EM58" s="7">
        <v>4</v>
      </c>
      <c r="EN58" s="7">
        <v>13</v>
      </c>
      <c r="EO58" s="7">
        <v>1502</v>
      </c>
      <c r="EP58" s="7">
        <v>1481</v>
      </c>
      <c r="EQ58" s="7">
        <v>21</v>
      </c>
      <c r="ER58" s="7">
        <v>423</v>
      </c>
      <c r="ES58" s="7">
        <v>254</v>
      </c>
      <c r="ET58" s="7">
        <v>251</v>
      </c>
      <c r="EU58" s="7">
        <v>3</v>
      </c>
      <c r="EV58" s="7">
        <v>1771</v>
      </c>
      <c r="EW58" s="134">
        <v>56.638566912999998</v>
      </c>
      <c r="EX58" s="134">
        <v>9.0094836669999996</v>
      </c>
      <c r="EY58" s="134">
        <v>8.2191780821999991</v>
      </c>
      <c r="EZ58" s="134">
        <v>24.762908325000001</v>
      </c>
      <c r="FA58" s="134">
        <v>1.3698630137000001</v>
      </c>
      <c r="FB58" s="7">
        <v>169</v>
      </c>
      <c r="FC58" s="7">
        <v>770</v>
      </c>
      <c r="FD58" s="7">
        <v>71</v>
      </c>
      <c r="FE58" s="7">
        <v>340</v>
      </c>
      <c r="FF58" s="7">
        <v>3</v>
      </c>
      <c r="FG58" s="7">
        <v>234</v>
      </c>
      <c r="FH58" s="7">
        <v>159</v>
      </c>
      <c r="FI58" s="134">
        <v>45.521601685999997</v>
      </c>
      <c r="FJ58" s="134">
        <v>30.295047417999999</v>
      </c>
      <c r="FK58" s="134">
        <v>17.439409905000002</v>
      </c>
      <c r="FL58" s="134">
        <v>6.7439409904999996</v>
      </c>
      <c r="FM58" s="151">
        <v>1872</v>
      </c>
      <c r="FN58" s="151">
        <v>557</v>
      </c>
      <c r="FO58" s="7">
        <v>256</v>
      </c>
      <c r="FP58" s="7">
        <v>34</v>
      </c>
      <c r="FQ58" s="7">
        <v>7</v>
      </c>
      <c r="FR58" s="7">
        <v>3</v>
      </c>
      <c r="FS58" s="7">
        <v>1536</v>
      </c>
      <c r="FT58" s="7">
        <v>2</v>
      </c>
      <c r="FU58" s="7">
        <v>37</v>
      </c>
      <c r="FV58" s="7">
        <v>12</v>
      </c>
      <c r="FW58" s="7">
        <v>2042</v>
      </c>
      <c r="FX58" s="7">
        <v>481</v>
      </c>
      <c r="FY58" s="7">
        <v>243</v>
      </c>
      <c r="FZ58" s="7">
        <v>36</v>
      </c>
      <c r="GA58" s="7">
        <v>10</v>
      </c>
      <c r="GB58" s="7">
        <v>0</v>
      </c>
      <c r="GC58" s="7">
        <v>1720</v>
      </c>
      <c r="GD58" s="7">
        <v>5</v>
      </c>
      <c r="GE58" s="7">
        <v>29</v>
      </c>
      <c r="GF58" s="7">
        <v>10</v>
      </c>
      <c r="GG58" s="7">
        <v>150</v>
      </c>
      <c r="GH58" s="7">
        <v>168</v>
      </c>
      <c r="GI58" s="7">
        <v>171</v>
      </c>
      <c r="GJ58" s="7">
        <v>177</v>
      </c>
      <c r="GK58" s="7">
        <v>113</v>
      </c>
      <c r="GL58" s="7">
        <v>122</v>
      </c>
      <c r="GM58" s="7">
        <v>146</v>
      </c>
      <c r="GN58" s="7">
        <v>159</v>
      </c>
      <c r="GO58" s="7">
        <v>130</v>
      </c>
      <c r="GP58" s="7">
        <v>118</v>
      </c>
      <c r="GQ58" s="7">
        <v>112</v>
      </c>
      <c r="GR58" s="7">
        <v>83</v>
      </c>
      <c r="GS58" s="7">
        <v>74</v>
      </c>
      <c r="GT58" s="7">
        <v>42</v>
      </c>
      <c r="GU58" s="7">
        <v>53</v>
      </c>
      <c r="GV58" s="7">
        <v>19</v>
      </c>
      <c r="GW58" s="7">
        <v>23</v>
      </c>
      <c r="GX58" s="7">
        <v>12</v>
      </c>
      <c r="GY58" s="7">
        <v>162</v>
      </c>
      <c r="GZ58" s="7">
        <v>163</v>
      </c>
      <c r="HA58" s="7">
        <v>186</v>
      </c>
      <c r="HB58" s="7">
        <v>185</v>
      </c>
      <c r="HC58" s="7">
        <v>164</v>
      </c>
      <c r="HD58" s="7">
        <v>163</v>
      </c>
      <c r="HE58" s="7">
        <v>152</v>
      </c>
      <c r="HF58" s="7">
        <v>183</v>
      </c>
      <c r="HG58" s="7">
        <v>138</v>
      </c>
      <c r="HH58" s="7">
        <v>134</v>
      </c>
      <c r="HI58" s="7">
        <v>100</v>
      </c>
      <c r="HJ58" s="7">
        <v>92</v>
      </c>
      <c r="HK58" s="7">
        <v>66</v>
      </c>
      <c r="HL58" s="7">
        <v>54</v>
      </c>
      <c r="HM58" s="7">
        <v>43</v>
      </c>
      <c r="HN58" s="7">
        <v>31</v>
      </c>
      <c r="HO58" s="7">
        <v>17</v>
      </c>
      <c r="HP58" s="7">
        <v>9</v>
      </c>
      <c r="HQ58" s="7">
        <v>1401</v>
      </c>
      <c r="HR58" s="7">
        <v>1</v>
      </c>
      <c r="HS58" s="7">
        <v>0</v>
      </c>
      <c r="HT58" s="7">
        <v>2</v>
      </c>
      <c r="HU58" s="7">
        <v>0</v>
      </c>
      <c r="HV58" s="7">
        <v>0</v>
      </c>
      <c r="HW58" s="7">
        <v>0</v>
      </c>
      <c r="HX58" s="7">
        <v>8</v>
      </c>
      <c r="HY58" s="7">
        <v>112</v>
      </c>
      <c r="HZ58" s="7">
        <v>296</v>
      </c>
      <c r="IA58" s="7">
        <v>335</v>
      </c>
      <c r="IB58" s="7">
        <v>326</v>
      </c>
      <c r="IC58" s="7">
        <v>204</v>
      </c>
      <c r="ID58" s="7">
        <v>82</v>
      </c>
      <c r="IE58" s="7">
        <v>30</v>
      </c>
      <c r="IF58" s="7">
        <v>15</v>
      </c>
      <c r="IG58" s="7">
        <v>11</v>
      </c>
      <c r="IH58" s="7">
        <v>167</v>
      </c>
      <c r="II58" s="7">
        <v>440</v>
      </c>
      <c r="IJ58" s="7">
        <v>514</v>
      </c>
      <c r="IK58" s="7">
        <v>214</v>
      </c>
      <c r="IL58" s="7">
        <v>42</v>
      </c>
      <c r="IM58" s="7">
        <v>9</v>
      </c>
      <c r="IN58" s="7">
        <v>0</v>
      </c>
      <c r="IO58" s="7">
        <v>0</v>
      </c>
      <c r="IP58" s="7">
        <v>0</v>
      </c>
      <c r="IQ58" s="7">
        <v>735</v>
      </c>
      <c r="IR58" s="7">
        <v>586</v>
      </c>
      <c r="IS58" s="7">
        <v>66</v>
      </c>
      <c r="IT58" s="7">
        <v>10</v>
      </c>
      <c r="IU58" s="7">
        <v>0</v>
      </c>
      <c r="IV58" s="7">
        <v>387</v>
      </c>
      <c r="IW58" s="7">
        <v>549</v>
      </c>
      <c r="IX58" s="7">
        <v>7</v>
      </c>
      <c r="IY58" s="7">
        <v>9</v>
      </c>
      <c r="IZ58" s="7">
        <v>2</v>
      </c>
      <c r="JA58" s="7">
        <v>451</v>
      </c>
      <c r="JB58" s="7">
        <v>507</v>
      </c>
      <c r="JC58" s="7">
        <v>704</v>
      </c>
      <c r="JD58" s="7">
        <v>49</v>
      </c>
      <c r="JE58" s="7">
        <v>0</v>
      </c>
      <c r="JF58" s="151">
        <v>1307.6800586312986</v>
      </c>
      <c r="JG58" s="151">
        <v>99.346216739951061</v>
      </c>
      <c r="JH58" s="7">
        <v>63</v>
      </c>
      <c r="JI58" s="7">
        <v>1201</v>
      </c>
      <c r="JJ58" s="7">
        <v>144</v>
      </c>
      <c r="JK58" s="7">
        <v>3</v>
      </c>
      <c r="JL58" s="7">
        <v>1099</v>
      </c>
      <c r="JM58" s="7">
        <v>602</v>
      </c>
      <c r="JN58" s="7">
        <v>211</v>
      </c>
      <c r="JO58" s="7">
        <v>950</v>
      </c>
      <c r="JP58" s="7">
        <v>1204</v>
      </c>
      <c r="JQ58" s="7">
        <v>104</v>
      </c>
      <c r="JR58" s="7">
        <v>227</v>
      </c>
      <c r="JS58" s="7">
        <v>538</v>
      </c>
      <c r="JT58" s="7">
        <v>21</v>
      </c>
      <c r="JU58" s="151">
        <v>231.0509155037719</v>
      </c>
      <c r="JV58" s="151">
        <v>1070.6683701231298</v>
      </c>
      <c r="JW58" s="151">
        <v>3.6900023360553251</v>
      </c>
      <c r="JX58" s="151">
        <v>2.2707706683417386</v>
      </c>
      <c r="JY58" s="7">
        <v>1344</v>
      </c>
      <c r="JZ58" s="7">
        <v>4940</v>
      </c>
      <c r="KA58" s="7">
        <v>5</v>
      </c>
      <c r="KB58" s="7">
        <v>0</v>
      </c>
      <c r="KC58" s="7">
        <v>4</v>
      </c>
      <c r="KD58" s="7">
        <v>0</v>
      </c>
      <c r="KE58" s="7">
        <v>0</v>
      </c>
      <c r="KF58" s="7">
        <v>0</v>
      </c>
      <c r="KG58" s="7">
        <v>25</v>
      </c>
      <c r="KH58" s="7">
        <v>223</v>
      </c>
      <c r="KI58" s="7">
        <v>4263</v>
      </c>
      <c r="KJ58" s="7">
        <v>476</v>
      </c>
      <c r="KK58" s="7">
        <v>9</v>
      </c>
      <c r="KL58" s="7">
        <v>814</v>
      </c>
      <c r="KM58" s="7">
        <v>3772</v>
      </c>
      <c r="KN58" s="7">
        <v>13</v>
      </c>
      <c r="KO58" s="7">
        <v>8</v>
      </c>
      <c r="KP58" s="7">
        <v>4607</v>
      </c>
      <c r="KQ58" s="7">
        <v>350</v>
      </c>
      <c r="KR58" s="7">
        <v>631</v>
      </c>
      <c r="KS58" s="7">
        <v>631</v>
      </c>
      <c r="KT58" s="7">
        <v>94</v>
      </c>
      <c r="KU58" s="7">
        <v>47</v>
      </c>
      <c r="KV58" s="7">
        <v>123</v>
      </c>
      <c r="KW58" s="7">
        <v>0</v>
      </c>
      <c r="KX58" s="7">
        <v>106</v>
      </c>
      <c r="KY58" s="7">
        <v>41</v>
      </c>
      <c r="KZ58" s="7">
        <v>138</v>
      </c>
      <c r="LA58" s="7">
        <v>0</v>
      </c>
      <c r="LB58" s="7">
        <v>308</v>
      </c>
      <c r="LC58" s="7">
        <v>333</v>
      </c>
      <c r="LD58" s="7">
        <v>228</v>
      </c>
      <c r="LE58" s="7">
        <v>369</v>
      </c>
      <c r="LF58" s="7">
        <v>3718</v>
      </c>
      <c r="LG58" s="7">
        <v>3</v>
      </c>
      <c r="LH58" s="7">
        <v>769</v>
      </c>
      <c r="LI58" s="7">
        <v>97</v>
      </c>
      <c r="LJ58" s="7">
        <v>329</v>
      </c>
      <c r="LK58" s="7">
        <v>2</v>
      </c>
      <c r="LL58" s="7">
        <v>266</v>
      </c>
      <c r="LM58" s="7">
        <v>145</v>
      </c>
      <c r="LN58" s="7">
        <v>5</v>
      </c>
      <c r="LO58" s="7">
        <v>733</v>
      </c>
      <c r="LP58" s="7">
        <v>64</v>
      </c>
      <c r="LQ58" s="7">
        <v>373</v>
      </c>
      <c r="LR58" s="7">
        <v>2</v>
      </c>
      <c r="LS58" s="7">
        <v>271</v>
      </c>
      <c r="LT58" s="7">
        <v>88</v>
      </c>
      <c r="LU58" s="232">
        <v>6.3646483844999997</v>
      </c>
      <c r="LV58" s="232">
        <v>6.7129319955</v>
      </c>
      <c r="LW58" s="232">
        <v>6.0338803600000004</v>
      </c>
      <c r="LX58" s="7">
        <v>1411</v>
      </c>
      <c r="LY58" s="7">
        <v>4971</v>
      </c>
    </row>
    <row r="59" spans="1:337" x14ac:dyDescent="0.25">
      <c r="A59" t="s">
        <v>232</v>
      </c>
      <c r="B59" t="s">
        <v>233</v>
      </c>
      <c r="C59" s="7">
        <v>59686</v>
      </c>
      <c r="D59">
        <v>72769</v>
      </c>
      <c r="F59">
        <f t="shared" si="2"/>
        <v>-72769</v>
      </c>
      <c r="G59">
        <f t="shared" si="3"/>
        <v>-100</v>
      </c>
      <c r="H59">
        <v>35593</v>
      </c>
      <c r="I59">
        <v>37176</v>
      </c>
      <c r="J59">
        <v>17891</v>
      </c>
      <c r="K59">
        <v>54878</v>
      </c>
      <c r="L59" s="7">
        <v>3810</v>
      </c>
      <c r="M59" s="7">
        <v>3851</v>
      </c>
      <c r="N59" s="7">
        <v>3972</v>
      </c>
      <c r="O59" s="7">
        <v>3850</v>
      </c>
      <c r="P59" s="7">
        <v>3196</v>
      </c>
      <c r="Q59" s="7">
        <v>2620</v>
      </c>
      <c r="R59" s="7">
        <v>2429</v>
      </c>
      <c r="S59" s="7">
        <v>2511</v>
      </c>
      <c r="T59" s="7">
        <v>1867</v>
      </c>
      <c r="U59" s="7">
        <v>1626</v>
      </c>
      <c r="V59" s="7">
        <v>1314</v>
      </c>
      <c r="W59" s="7">
        <v>1168</v>
      </c>
      <c r="X59" s="7">
        <v>1033</v>
      </c>
      <c r="Y59" s="7">
        <v>2317</v>
      </c>
      <c r="Z59" s="7">
        <v>29</v>
      </c>
      <c r="AA59" s="7">
        <v>3716</v>
      </c>
      <c r="AB59" s="7">
        <v>3834</v>
      </c>
      <c r="AC59" s="7">
        <v>4013</v>
      </c>
      <c r="AD59" s="7">
        <v>4236</v>
      </c>
      <c r="AE59" s="7">
        <v>3700</v>
      </c>
      <c r="AF59" s="7">
        <v>2978</v>
      </c>
      <c r="AG59" s="7">
        <v>2812</v>
      </c>
      <c r="AH59" s="7">
        <v>2617</v>
      </c>
      <c r="AI59" s="7">
        <v>2008</v>
      </c>
      <c r="AJ59" s="7">
        <v>1688</v>
      </c>
      <c r="AK59" s="7">
        <v>1353</v>
      </c>
      <c r="AL59" s="7">
        <v>1179</v>
      </c>
      <c r="AM59" s="7">
        <v>950</v>
      </c>
      <c r="AN59" s="7">
        <v>2068</v>
      </c>
      <c r="AO59" s="7">
        <v>24</v>
      </c>
      <c r="AP59">
        <v>69529</v>
      </c>
      <c r="AQ59">
        <v>498</v>
      </c>
      <c r="AR59">
        <v>148</v>
      </c>
      <c r="AS59">
        <v>2492</v>
      </c>
      <c r="AT59">
        <v>102</v>
      </c>
      <c r="AU59" s="7">
        <v>6759</v>
      </c>
      <c r="AV59" s="7">
        <v>3274</v>
      </c>
      <c r="AW59" s="7">
        <v>3485</v>
      </c>
      <c r="AX59" s="7">
        <v>4852</v>
      </c>
      <c r="AY59" s="7">
        <v>6759</v>
      </c>
      <c r="AZ59" s="7">
        <v>6568</v>
      </c>
      <c r="BA59" s="7">
        <v>191</v>
      </c>
      <c r="BB59" s="7">
        <v>126</v>
      </c>
      <c r="BC59" s="7">
        <v>142</v>
      </c>
      <c r="BD59" s="7">
        <v>399</v>
      </c>
      <c r="BE59" s="7">
        <v>411</v>
      </c>
      <c r="BF59" s="7">
        <v>485</v>
      </c>
      <c r="BG59" s="7">
        <v>549</v>
      </c>
      <c r="BH59" s="7">
        <v>463</v>
      </c>
      <c r="BI59" s="7">
        <v>546</v>
      </c>
      <c r="BJ59" s="7">
        <v>350</v>
      </c>
      <c r="BK59" s="7">
        <v>361</v>
      </c>
      <c r="BL59" s="7">
        <v>246</v>
      </c>
      <c r="BM59" s="7">
        <v>252</v>
      </c>
      <c r="BN59" s="7">
        <v>189</v>
      </c>
      <c r="BO59" s="7">
        <v>197</v>
      </c>
      <c r="BP59" s="7">
        <v>190</v>
      </c>
      <c r="BQ59" s="7">
        <v>207</v>
      </c>
      <c r="BR59" s="7">
        <v>143</v>
      </c>
      <c r="BS59" s="7">
        <v>161</v>
      </c>
      <c r="BT59" s="7">
        <v>137</v>
      </c>
      <c r="BU59" s="7">
        <v>167</v>
      </c>
      <c r="BV59" s="7">
        <v>136</v>
      </c>
      <c r="BW59" s="7">
        <v>130</v>
      </c>
      <c r="BX59" s="7">
        <v>114</v>
      </c>
      <c r="BY59" s="7">
        <v>107</v>
      </c>
      <c r="BZ59" s="7">
        <v>108</v>
      </c>
      <c r="CA59" s="7">
        <v>90</v>
      </c>
      <c r="CB59" s="7">
        <v>188</v>
      </c>
      <c r="CC59" s="7">
        <v>165</v>
      </c>
      <c r="CD59" s="7">
        <v>3021</v>
      </c>
      <c r="CE59" s="7">
        <v>3026</v>
      </c>
      <c r="CF59" s="7">
        <v>163</v>
      </c>
      <c r="CG59" s="7">
        <v>354</v>
      </c>
      <c r="CH59" s="7">
        <v>14431</v>
      </c>
      <c r="CI59" s="7">
        <v>2292</v>
      </c>
      <c r="CJ59" s="7">
        <v>64686</v>
      </c>
      <c r="CK59" s="7">
        <v>7969</v>
      </c>
      <c r="CL59" s="7">
        <v>725</v>
      </c>
      <c r="CM59" s="7">
        <v>2062</v>
      </c>
      <c r="CN59" s="7">
        <v>3010</v>
      </c>
      <c r="CO59" s="7">
        <v>4102</v>
      </c>
      <c r="CP59" s="7">
        <v>3083</v>
      </c>
      <c r="CQ59" s="7">
        <v>3741</v>
      </c>
      <c r="CR59" s="7">
        <v>13691</v>
      </c>
      <c r="CS59" s="7">
        <v>32387</v>
      </c>
      <c r="CT59" s="7">
        <v>4990</v>
      </c>
      <c r="CU59" s="7">
        <v>2143</v>
      </c>
      <c r="CV59" s="7">
        <v>969</v>
      </c>
      <c r="CW59" s="7">
        <v>1519</v>
      </c>
      <c r="CX59" s="7">
        <v>149</v>
      </c>
      <c r="CY59" s="7">
        <v>44914</v>
      </c>
      <c r="CZ59" s="7">
        <v>26084</v>
      </c>
      <c r="DA59" s="7">
        <v>474</v>
      </c>
      <c r="DB59" s="7">
        <v>725</v>
      </c>
      <c r="DC59" s="7">
        <v>46</v>
      </c>
      <c r="DD59" s="7">
        <v>14510</v>
      </c>
      <c r="DE59" s="7">
        <v>8807</v>
      </c>
      <c r="DF59" s="7">
        <v>31561</v>
      </c>
      <c r="DG59" s="7">
        <v>8849</v>
      </c>
      <c r="DH59" s="7">
        <v>9042</v>
      </c>
      <c r="DI59" s="7">
        <v>0</v>
      </c>
      <c r="DJ59" s="7">
        <v>0</v>
      </c>
      <c r="DK59" s="7">
        <v>0</v>
      </c>
      <c r="DL59" s="7">
        <v>359</v>
      </c>
      <c r="DM59" s="7">
        <v>25</v>
      </c>
      <c r="DN59" s="7">
        <v>27</v>
      </c>
      <c r="DO59" s="7">
        <v>3</v>
      </c>
      <c r="DP59" s="7">
        <v>1</v>
      </c>
      <c r="DQ59" s="7">
        <v>0</v>
      </c>
      <c r="DR59" s="7">
        <v>0</v>
      </c>
      <c r="DS59" s="7">
        <v>0</v>
      </c>
      <c r="DT59" s="7">
        <v>345</v>
      </c>
      <c r="DU59" s="7">
        <v>350</v>
      </c>
      <c r="DV59" s="7">
        <v>225</v>
      </c>
      <c r="DW59" s="7">
        <v>178</v>
      </c>
      <c r="DX59" s="7">
        <v>123</v>
      </c>
      <c r="DY59" s="7">
        <v>102</v>
      </c>
      <c r="DZ59" s="7">
        <v>100</v>
      </c>
      <c r="EA59" s="7">
        <v>96</v>
      </c>
      <c r="EB59" s="7">
        <v>40</v>
      </c>
      <c r="EC59" s="7">
        <v>41</v>
      </c>
      <c r="ED59" s="7">
        <v>39</v>
      </c>
      <c r="EE59" s="7">
        <v>31</v>
      </c>
      <c r="EF59" s="7">
        <v>108</v>
      </c>
      <c r="EG59" s="7">
        <v>89</v>
      </c>
      <c r="EH59" s="7">
        <v>367</v>
      </c>
      <c r="EI59" s="7">
        <v>218</v>
      </c>
      <c r="EJ59" s="7">
        <v>125</v>
      </c>
      <c r="EK59" s="7">
        <v>114</v>
      </c>
      <c r="EL59" s="7">
        <v>51</v>
      </c>
      <c r="EM59" s="7">
        <v>38</v>
      </c>
      <c r="EN59" s="7">
        <v>98</v>
      </c>
      <c r="EO59" s="7">
        <v>21962</v>
      </c>
      <c r="EP59" s="7">
        <v>21832</v>
      </c>
      <c r="EQ59" s="7">
        <v>130</v>
      </c>
      <c r="ER59" s="7">
        <v>4236</v>
      </c>
      <c r="ES59" s="7">
        <v>2294</v>
      </c>
      <c r="ET59" s="7">
        <v>2274</v>
      </c>
      <c r="EU59" s="7">
        <v>20</v>
      </c>
      <c r="EV59" s="7">
        <v>25671</v>
      </c>
      <c r="EW59" s="134">
        <v>77.186067089999995</v>
      </c>
      <c r="EX59" s="134">
        <v>8.6115356769000009</v>
      </c>
      <c r="EY59" s="134">
        <v>5.2328855280999997</v>
      </c>
      <c r="EZ59" s="134">
        <v>8.0725605341000009</v>
      </c>
      <c r="FA59" s="134">
        <v>0.89695117049999995</v>
      </c>
      <c r="FB59" s="7">
        <v>2888</v>
      </c>
      <c r="FC59" s="7">
        <v>15020</v>
      </c>
      <c r="FD59" s="7">
        <v>697</v>
      </c>
      <c r="FE59" s="7">
        <v>3840</v>
      </c>
      <c r="FF59" s="7">
        <v>7</v>
      </c>
      <c r="FG59" s="7">
        <v>1053</v>
      </c>
      <c r="FH59" s="7">
        <v>730</v>
      </c>
      <c r="FI59" s="134">
        <v>62.677982462999999</v>
      </c>
      <c r="FJ59" s="134">
        <v>23.698817472000002</v>
      </c>
      <c r="FK59" s="134">
        <v>11.069101440000001</v>
      </c>
      <c r="FL59" s="134">
        <v>2.5540986243999999</v>
      </c>
      <c r="FM59" s="151">
        <v>19027</v>
      </c>
      <c r="FN59" s="151">
        <v>16520</v>
      </c>
      <c r="FO59" s="7">
        <v>1598</v>
      </c>
      <c r="FP59" s="7">
        <v>486</v>
      </c>
      <c r="FQ59" s="7">
        <v>90</v>
      </c>
      <c r="FR59" s="7">
        <v>52</v>
      </c>
      <c r="FS59" s="7">
        <v>17134</v>
      </c>
      <c r="FT59" s="7">
        <v>13</v>
      </c>
      <c r="FU59" s="7">
        <v>117</v>
      </c>
      <c r="FV59" s="7">
        <v>46</v>
      </c>
      <c r="FW59" s="7">
        <v>21671</v>
      </c>
      <c r="FX59" s="7">
        <v>15441</v>
      </c>
      <c r="FY59" s="7">
        <v>1575</v>
      </c>
      <c r="FZ59" s="7">
        <v>534</v>
      </c>
      <c r="GA59" s="7">
        <v>88</v>
      </c>
      <c r="GB59" s="7">
        <v>55</v>
      </c>
      <c r="GC59" s="7">
        <v>19802</v>
      </c>
      <c r="GD59" s="7">
        <v>10</v>
      </c>
      <c r="GE59" s="7">
        <v>98</v>
      </c>
      <c r="GF59" s="7">
        <v>64</v>
      </c>
      <c r="GG59" s="7">
        <v>2156</v>
      </c>
      <c r="GH59" s="7">
        <v>2164</v>
      </c>
      <c r="GI59" s="7">
        <v>2230</v>
      </c>
      <c r="GJ59" s="7">
        <v>1895</v>
      </c>
      <c r="GK59" s="7">
        <v>1353</v>
      </c>
      <c r="GL59" s="7">
        <v>1310</v>
      </c>
      <c r="GM59" s="7">
        <v>1331</v>
      </c>
      <c r="GN59" s="7">
        <v>1421</v>
      </c>
      <c r="GO59" s="7">
        <v>1066</v>
      </c>
      <c r="GP59" s="7">
        <v>879</v>
      </c>
      <c r="GQ59" s="7">
        <v>696</v>
      </c>
      <c r="GR59" s="7">
        <v>625</v>
      </c>
      <c r="GS59" s="7">
        <v>559</v>
      </c>
      <c r="GT59" s="7">
        <v>397</v>
      </c>
      <c r="GU59" s="7">
        <v>434</v>
      </c>
      <c r="GV59" s="7">
        <v>233</v>
      </c>
      <c r="GW59" s="7">
        <v>153</v>
      </c>
      <c r="GX59" s="7">
        <v>121</v>
      </c>
      <c r="GY59" s="7">
        <v>2104</v>
      </c>
      <c r="GZ59" s="7">
        <v>2158</v>
      </c>
      <c r="HA59" s="7">
        <v>2282</v>
      </c>
      <c r="HB59" s="7">
        <v>2165</v>
      </c>
      <c r="HC59" s="7">
        <v>2015</v>
      </c>
      <c r="HD59" s="7">
        <v>1787</v>
      </c>
      <c r="HE59" s="7">
        <v>1792</v>
      </c>
      <c r="HF59" s="7">
        <v>1681</v>
      </c>
      <c r="HG59" s="7">
        <v>1226</v>
      </c>
      <c r="HH59" s="7">
        <v>1011</v>
      </c>
      <c r="HI59" s="7">
        <v>825</v>
      </c>
      <c r="HJ59" s="7">
        <v>757</v>
      </c>
      <c r="HK59" s="7">
        <v>577</v>
      </c>
      <c r="HL59" s="7">
        <v>452</v>
      </c>
      <c r="HM59" s="7">
        <v>402</v>
      </c>
      <c r="HN59" s="7">
        <v>217</v>
      </c>
      <c r="HO59" s="7">
        <v>116</v>
      </c>
      <c r="HP59" s="7">
        <v>103</v>
      </c>
      <c r="HQ59" s="7">
        <v>16598</v>
      </c>
      <c r="HR59" s="7">
        <v>0</v>
      </c>
      <c r="HS59" s="7">
        <v>80</v>
      </c>
      <c r="HT59" s="7">
        <v>0</v>
      </c>
      <c r="HU59" s="7">
        <v>0</v>
      </c>
      <c r="HV59" s="7">
        <v>0</v>
      </c>
      <c r="HW59" s="7">
        <v>0</v>
      </c>
      <c r="HX59" s="7">
        <v>60</v>
      </c>
      <c r="HY59" s="7">
        <v>725</v>
      </c>
      <c r="HZ59" s="7">
        <v>2062</v>
      </c>
      <c r="IA59" s="7">
        <v>3010</v>
      </c>
      <c r="IB59" s="7">
        <v>4102</v>
      </c>
      <c r="IC59" s="7">
        <v>3083</v>
      </c>
      <c r="ID59" s="7">
        <v>1804</v>
      </c>
      <c r="IE59" s="7">
        <v>864</v>
      </c>
      <c r="IF59" s="7">
        <v>457</v>
      </c>
      <c r="IG59" s="7">
        <v>616</v>
      </c>
      <c r="IH59" s="7">
        <v>682</v>
      </c>
      <c r="II59" s="7">
        <v>4003</v>
      </c>
      <c r="IJ59" s="7">
        <v>4861</v>
      </c>
      <c r="IK59" s="7">
        <v>3999</v>
      </c>
      <c r="IL59" s="7">
        <v>2119</v>
      </c>
      <c r="IM59" s="7">
        <v>688</v>
      </c>
      <c r="IN59" s="7">
        <v>187</v>
      </c>
      <c r="IO59" s="7">
        <v>80</v>
      </c>
      <c r="IP59" s="7">
        <v>65</v>
      </c>
      <c r="IQ59" s="7">
        <v>7085</v>
      </c>
      <c r="IR59" s="7">
        <v>6461</v>
      </c>
      <c r="IS59" s="7">
        <v>2248</v>
      </c>
      <c r="IT59" s="7">
        <v>775</v>
      </c>
      <c r="IU59" s="7">
        <v>133</v>
      </c>
      <c r="IV59" s="7">
        <v>1261</v>
      </c>
      <c r="IW59" s="7">
        <v>11368</v>
      </c>
      <c r="IX59" s="7">
        <v>897</v>
      </c>
      <c r="IY59" s="7">
        <v>239</v>
      </c>
      <c r="IZ59" s="7">
        <v>176</v>
      </c>
      <c r="JA59" s="7">
        <v>2756</v>
      </c>
      <c r="JB59" s="7">
        <v>1270</v>
      </c>
      <c r="JC59" s="7">
        <v>10204</v>
      </c>
      <c r="JD59" s="7">
        <v>17</v>
      </c>
      <c r="JE59" s="7">
        <v>2</v>
      </c>
      <c r="JF59" s="151">
        <v>16408.128223099171</v>
      </c>
      <c r="JG59" s="151">
        <v>302.44336955058156</v>
      </c>
      <c r="JH59" s="7">
        <v>2650</v>
      </c>
      <c r="JI59" s="7">
        <v>12943</v>
      </c>
      <c r="JJ59" s="7">
        <v>1088</v>
      </c>
      <c r="JK59" s="7">
        <v>42</v>
      </c>
      <c r="JL59" s="7">
        <v>9194</v>
      </c>
      <c r="JM59" s="7">
        <v>5277</v>
      </c>
      <c r="JN59" s="7">
        <v>3870</v>
      </c>
      <c r="JO59" s="7">
        <v>12874</v>
      </c>
      <c r="JP59" s="7">
        <v>13465</v>
      </c>
      <c r="JQ59" s="7">
        <v>586</v>
      </c>
      <c r="JR59" s="7">
        <v>3064</v>
      </c>
      <c r="JS59" s="7">
        <v>4411</v>
      </c>
      <c r="JT59" s="7">
        <v>184</v>
      </c>
      <c r="JU59" s="151">
        <v>1905.1170241782067</v>
      </c>
      <c r="JV59" s="151">
        <v>6732.9326073771781</v>
      </c>
      <c r="JW59" s="151">
        <v>7743.6090424583072</v>
      </c>
      <c r="JX59" s="151">
        <v>26.469549085477077</v>
      </c>
      <c r="JY59" s="7">
        <v>16343</v>
      </c>
      <c r="JZ59" s="7">
        <v>72199</v>
      </c>
      <c r="KA59" s="7">
        <v>0</v>
      </c>
      <c r="KB59" s="7">
        <v>263</v>
      </c>
      <c r="KC59" s="7">
        <v>0</v>
      </c>
      <c r="KD59" s="7">
        <v>0</v>
      </c>
      <c r="KE59" s="7">
        <v>0</v>
      </c>
      <c r="KF59" s="7">
        <v>0</v>
      </c>
      <c r="KG59" s="7">
        <v>238</v>
      </c>
      <c r="KH59" s="7">
        <v>11837</v>
      </c>
      <c r="KI59" s="7">
        <v>56277</v>
      </c>
      <c r="KJ59" s="7">
        <v>4338</v>
      </c>
      <c r="KK59" s="7">
        <v>203</v>
      </c>
      <c r="KL59" s="7">
        <v>8277</v>
      </c>
      <c r="KM59" s="7">
        <v>29252</v>
      </c>
      <c r="KN59" s="7">
        <v>33643</v>
      </c>
      <c r="KO59" s="7">
        <v>115</v>
      </c>
      <c r="KP59" s="7">
        <v>71287</v>
      </c>
      <c r="KQ59" s="7">
        <v>1314</v>
      </c>
      <c r="KR59" s="7">
        <v>9331</v>
      </c>
      <c r="KS59" s="7">
        <v>9331</v>
      </c>
      <c r="KT59" s="7">
        <v>2115</v>
      </c>
      <c r="KU59" s="7">
        <v>648</v>
      </c>
      <c r="KV59" s="7">
        <v>1435</v>
      </c>
      <c r="KW59" s="7">
        <v>0</v>
      </c>
      <c r="KX59" s="7">
        <v>1975</v>
      </c>
      <c r="KY59" s="7">
        <v>603</v>
      </c>
      <c r="KZ59" s="7">
        <v>1212</v>
      </c>
      <c r="LA59" s="7">
        <v>1</v>
      </c>
      <c r="LB59" s="7">
        <v>5590</v>
      </c>
      <c r="LC59" s="7">
        <v>5657</v>
      </c>
      <c r="LD59" s="7">
        <v>3286</v>
      </c>
      <c r="LE59" s="7">
        <v>5713</v>
      </c>
      <c r="LF59" s="7">
        <v>49520</v>
      </c>
      <c r="LG59" s="7">
        <v>70</v>
      </c>
      <c r="LH59" s="7">
        <v>14082</v>
      </c>
      <c r="LI59" s="7">
        <v>1128</v>
      </c>
      <c r="LJ59" s="7">
        <v>3702</v>
      </c>
      <c r="LK59" s="7">
        <v>6</v>
      </c>
      <c r="LL59" s="7">
        <v>1277</v>
      </c>
      <c r="LM59" s="7">
        <v>666</v>
      </c>
      <c r="LN59" s="7">
        <v>82</v>
      </c>
      <c r="LO59" s="7">
        <v>15278</v>
      </c>
      <c r="LP59" s="7">
        <v>854</v>
      </c>
      <c r="LQ59" s="7">
        <v>3163</v>
      </c>
      <c r="LR59" s="7">
        <v>5</v>
      </c>
      <c r="LS59" s="7">
        <v>1018</v>
      </c>
      <c r="LT59" s="7">
        <v>439</v>
      </c>
      <c r="LU59" s="232">
        <v>5.1997652201999998</v>
      </c>
      <c r="LV59" s="232">
        <v>5.5464634197000002</v>
      </c>
      <c r="LW59" s="232">
        <v>4.8754749501000001</v>
      </c>
      <c r="LX59" s="7">
        <v>16723</v>
      </c>
      <c r="LY59" s="7">
        <v>72655</v>
      </c>
    </row>
    <row r="60" spans="1:337" x14ac:dyDescent="0.25">
      <c r="A60" t="s">
        <v>134</v>
      </c>
      <c r="B60" t="s">
        <v>135</v>
      </c>
      <c r="C60" s="7">
        <v>16538</v>
      </c>
      <c r="D60">
        <v>20349</v>
      </c>
      <c r="F60">
        <f t="shared" si="2"/>
        <v>-20349</v>
      </c>
      <c r="G60">
        <f t="shared" si="3"/>
        <v>-100</v>
      </c>
      <c r="H60">
        <v>10035</v>
      </c>
      <c r="I60">
        <v>10314</v>
      </c>
      <c r="J60">
        <v>0</v>
      </c>
      <c r="K60">
        <v>20349</v>
      </c>
      <c r="L60" s="7">
        <v>1620</v>
      </c>
      <c r="M60" s="7">
        <v>1470</v>
      </c>
      <c r="N60" s="7">
        <v>1362</v>
      </c>
      <c r="O60" s="7">
        <v>1101</v>
      </c>
      <c r="P60" s="7">
        <v>828</v>
      </c>
      <c r="Q60" s="7">
        <v>659</v>
      </c>
      <c r="R60" s="7">
        <v>579</v>
      </c>
      <c r="S60" s="7">
        <v>456</v>
      </c>
      <c r="T60" s="7">
        <v>333</v>
      </c>
      <c r="U60" s="7">
        <v>277</v>
      </c>
      <c r="V60" s="7">
        <v>191</v>
      </c>
      <c r="W60" s="7">
        <v>181</v>
      </c>
      <c r="X60" s="7">
        <v>148</v>
      </c>
      <c r="Y60" s="7">
        <v>296</v>
      </c>
      <c r="Z60" s="7">
        <v>534</v>
      </c>
      <c r="AA60" s="7">
        <v>1586</v>
      </c>
      <c r="AB60" s="7">
        <v>1498</v>
      </c>
      <c r="AC60" s="7">
        <v>1329</v>
      </c>
      <c r="AD60" s="7">
        <v>1092</v>
      </c>
      <c r="AE60" s="7">
        <v>919</v>
      </c>
      <c r="AF60" s="7">
        <v>747</v>
      </c>
      <c r="AG60" s="7">
        <v>575</v>
      </c>
      <c r="AH60" s="7">
        <v>459</v>
      </c>
      <c r="AI60" s="7">
        <v>350</v>
      </c>
      <c r="AJ60" s="7">
        <v>309</v>
      </c>
      <c r="AK60" s="7">
        <v>243</v>
      </c>
      <c r="AL60" s="7">
        <v>215</v>
      </c>
      <c r="AM60" s="7">
        <v>157</v>
      </c>
      <c r="AN60" s="7">
        <v>301</v>
      </c>
      <c r="AO60" s="7">
        <v>534</v>
      </c>
      <c r="AP60">
        <v>19257</v>
      </c>
      <c r="AQ60">
        <v>7</v>
      </c>
      <c r="AR60">
        <v>5</v>
      </c>
      <c r="AS60">
        <v>1</v>
      </c>
      <c r="AT60">
        <v>1079</v>
      </c>
      <c r="AU60" s="7">
        <v>17213</v>
      </c>
      <c r="AV60" s="7">
        <v>8438</v>
      </c>
      <c r="AW60" s="7">
        <v>8775</v>
      </c>
      <c r="AX60" s="7">
        <v>10426</v>
      </c>
      <c r="AY60" s="7">
        <v>17213</v>
      </c>
      <c r="AZ60" s="7">
        <v>17213</v>
      </c>
      <c r="BA60" s="7">
        <v>0</v>
      </c>
      <c r="BB60" s="7">
        <v>604</v>
      </c>
      <c r="BC60" s="7">
        <v>638</v>
      </c>
      <c r="BD60" s="7">
        <v>1457</v>
      </c>
      <c r="BE60" s="7">
        <v>1495</v>
      </c>
      <c r="BF60" s="7">
        <v>1350</v>
      </c>
      <c r="BG60" s="7">
        <v>1321</v>
      </c>
      <c r="BH60" s="7">
        <v>1095</v>
      </c>
      <c r="BI60" s="7">
        <v>1082</v>
      </c>
      <c r="BJ60" s="7">
        <v>825</v>
      </c>
      <c r="BK60" s="7">
        <v>908</v>
      </c>
      <c r="BL60" s="7">
        <v>657</v>
      </c>
      <c r="BM60" s="7">
        <v>740</v>
      </c>
      <c r="BN60" s="7">
        <v>576</v>
      </c>
      <c r="BO60" s="7">
        <v>569</v>
      </c>
      <c r="BP60" s="7">
        <v>454</v>
      </c>
      <c r="BQ60" s="7">
        <v>456</v>
      </c>
      <c r="BR60" s="7">
        <v>333</v>
      </c>
      <c r="BS60" s="7">
        <v>350</v>
      </c>
      <c r="BT60" s="7">
        <v>276</v>
      </c>
      <c r="BU60" s="7">
        <v>307</v>
      </c>
      <c r="BV60" s="7">
        <v>191</v>
      </c>
      <c r="BW60" s="7">
        <v>239</v>
      </c>
      <c r="BX60" s="7">
        <v>178</v>
      </c>
      <c r="BY60" s="7">
        <v>215</v>
      </c>
      <c r="BZ60" s="7">
        <v>147</v>
      </c>
      <c r="CA60" s="7">
        <v>157</v>
      </c>
      <c r="CB60" s="7">
        <v>295</v>
      </c>
      <c r="CC60" s="7">
        <v>298</v>
      </c>
      <c r="CD60" s="7">
        <v>4637</v>
      </c>
      <c r="CE60" s="7">
        <v>3008</v>
      </c>
      <c r="CF60" s="7">
        <v>3766</v>
      </c>
      <c r="CG60" s="7">
        <v>5721</v>
      </c>
      <c r="CH60" s="7">
        <v>3164</v>
      </c>
      <c r="CI60" s="7">
        <v>391</v>
      </c>
      <c r="CJ60" s="7">
        <v>17786</v>
      </c>
      <c r="CK60" s="7">
        <v>1501</v>
      </c>
      <c r="CL60" s="7">
        <v>107</v>
      </c>
      <c r="CM60" s="7">
        <v>410</v>
      </c>
      <c r="CN60" s="7">
        <v>456</v>
      </c>
      <c r="CO60" s="7">
        <v>482</v>
      </c>
      <c r="CP60" s="7">
        <v>497</v>
      </c>
      <c r="CQ60" s="7">
        <v>1603</v>
      </c>
      <c r="CR60" s="7">
        <v>3074</v>
      </c>
      <c r="CS60" s="7">
        <v>11584</v>
      </c>
      <c r="CT60" s="7">
        <v>448</v>
      </c>
      <c r="CU60" s="7">
        <v>176</v>
      </c>
      <c r="CV60" s="7">
        <v>118</v>
      </c>
      <c r="CW60" s="7">
        <v>269</v>
      </c>
      <c r="CX60" s="7">
        <v>2</v>
      </c>
      <c r="CY60" s="7">
        <v>15067</v>
      </c>
      <c r="CZ60" s="7">
        <v>3710</v>
      </c>
      <c r="DA60" s="7">
        <v>10</v>
      </c>
      <c r="DB60" s="7">
        <v>107</v>
      </c>
      <c r="DC60" s="7">
        <v>0</v>
      </c>
      <c r="DD60" s="7">
        <v>5753</v>
      </c>
      <c r="DE60" s="7">
        <v>5917</v>
      </c>
      <c r="DF60" s="7">
        <v>8679</v>
      </c>
      <c r="DG60" s="7">
        <v>0</v>
      </c>
      <c r="DH60" s="7">
        <v>0</v>
      </c>
      <c r="DI60" s="7">
        <v>0</v>
      </c>
      <c r="DJ60" s="7">
        <v>0</v>
      </c>
      <c r="DK60" s="7">
        <v>0</v>
      </c>
      <c r="DL60" s="7">
        <v>49</v>
      </c>
      <c r="DM60" s="7">
        <v>17</v>
      </c>
      <c r="DN60" s="7">
        <v>11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111</v>
      </c>
      <c r="DU60" s="7">
        <v>127</v>
      </c>
      <c r="DV60" s="7">
        <v>55</v>
      </c>
      <c r="DW60" s="7">
        <v>80</v>
      </c>
      <c r="DX60" s="7">
        <v>32</v>
      </c>
      <c r="DY60" s="7">
        <v>26</v>
      </c>
      <c r="DZ60" s="7">
        <v>30</v>
      </c>
      <c r="EA60" s="7">
        <v>31</v>
      </c>
      <c r="EB60" s="7">
        <v>5</v>
      </c>
      <c r="EC60" s="7">
        <v>5</v>
      </c>
      <c r="ED60" s="7">
        <v>3</v>
      </c>
      <c r="EE60" s="7">
        <v>6</v>
      </c>
      <c r="EF60" s="7">
        <v>38</v>
      </c>
      <c r="EG60" s="7">
        <v>27</v>
      </c>
      <c r="EH60" s="7">
        <v>184</v>
      </c>
      <c r="EI60" s="7">
        <v>81</v>
      </c>
      <c r="EJ60" s="7">
        <v>29</v>
      </c>
      <c r="EK60" s="7">
        <v>27</v>
      </c>
      <c r="EL60" s="7">
        <v>5</v>
      </c>
      <c r="EM60" s="7">
        <v>7</v>
      </c>
      <c r="EN60" s="7">
        <v>33</v>
      </c>
      <c r="EO60" s="7">
        <v>4322</v>
      </c>
      <c r="EP60" s="7">
        <v>4285</v>
      </c>
      <c r="EQ60" s="7">
        <v>37</v>
      </c>
      <c r="ER60" s="7">
        <v>1486</v>
      </c>
      <c r="ES60" s="7">
        <v>1001</v>
      </c>
      <c r="ET60" s="7">
        <v>998</v>
      </c>
      <c r="EU60" s="7">
        <v>3</v>
      </c>
      <c r="EV60" s="7">
        <v>5138</v>
      </c>
      <c r="EW60" s="134">
        <v>75.455580866000005</v>
      </c>
      <c r="EX60" s="134">
        <v>16.628701594999999</v>
      </c>
      <c r="EY60" s="134">
        <v>2.0501138952</v>
      </c>
      <c r="EZ60" s="134">
        <v>4.9734244495000004</v>
      </c>
      <c r="FA60" s="134">
        <v>0.89217919509999999</v>
      </c>
      <c r="FB60" s="7">
        <v>876</v>
      </c>
      <c r="FC60" s="7">
        <v>3140</v>
      </c>
      <c r="FD60" s="7">
        <v>171</v>
      </c>
      <c r="FE60" s="7">
        <v>803</v>
      </c>
      <c r="FF60" s="7">
        <v>0</v>
      </c>
      <c r="FG60" s="7">
        <v>263</v>
      </c>
      <c r="FH60" s="7">
        <v>67</v>
      </c>
      <c r="FI60" s="134">
        <v>89.369779803</v>
      </c>
      <c r="FJ60" s="134">
        <v>5.1822323462000002</v>
      </c>
      <c r="FK60" s="134">
        <v>2.8663629461000002</v>
      </c>
      <c r="FL60" s="134">
        <v>2.5816249051</v>
      </c>
      <c r="FM60" s="151">
        <v>5508</v>
      </c>
      <c r="FN60" s="151">
        <v>3955</v>
      </c>
      <c r="FO60" s="7">
        <v>653</v>
      </c>
      <c r="FP60" s="7">
        <v>14</v>
      </c>
      <c r="FQ60" s="7">
        <v>2</v>
      </c>
      <c r="FR60" s="7">
        <v>1</v>
      </c>
      <c r="FS60" s="7">
        <v>4550</v>
      </c>
      <c r="FT60" s="7">
        <v>149</v>
      </c>
      <c r="FU60" s="7">
        <v>153</v>
      </c>
      <c r="FV60" s="7">
        <v>572</v>
      </c>
      <c r="FW60" s="7">
        <v>5642</v>
      </c>
      <c r="FX60" s="7">
        <v>4088</v>
      </c>
      <c r="FY60" s="7">
        <v>669</v>
      </c>
      <c r="FZ60" s="7">
        <v>13</v>
      </c>
      <c r="GA60" s="7">
        <v>2</v>
      </c>
      <c r="GB60" s="7">
        <v>2</v>
      </c>
      <c r="GC60" s="7">
        <v>4701</v>
      </c>
      <c r="GD60" s="7">
        <v>136</v>
      </c>
      <c r="GE60" s="7">
        <v>134</v>
      </c>
      <c r="GF60" s="7">
        <v>584</v>
      </c>
      <c r="GG60" s="7">
        <v>909</v>
      </c>
      <c r="GH60" s="7">
        <v>860</v>
      </c>
      <c r="GI60" s="7">
        <v>836</v>
      </c>
      <c r="GJ60" s="7">
        <v>612</v>
      </c>
      <c r="GK60" s="7">
        <v>463</v>
      </c>
      <c r="GL60" s="7">
        <v>378</v>
      </c>
      <c r="GM60" s="7">
        <v>327</v>
      </c>
      <c r="GN60" s="7">
        <v>281</v>
      </c>
      <c r="GO60" s="7">
        <v>186</v>
      </c>
      <c r="GP60" s="7">
        <v>173</v>
      </c>
      <c r="GQ60" s="7">
        <v>118</v>
      </c>
      <c r="GR60" s="7">
        <v>97</v>
      </c>
      <c r="GS60" s="7">
        <v>93</v>
      </c>
      <c r="GT60" s="7">
        <v>67</v>
      </c>
      <c r="GU60" s="7">
        <v>51</v>
      </c>
      <c r="GV60" s="7">
        <v>29</v>
      </c>
      <c r="GW60" s="7">
        <v>15</v>
      </c>
      <c r="GX60" s="7">
        <v>13</v>
      </c>
      <c r="GY60" s="7">
        <v>865</v>
      </c>
      <c r="GZ60" s="7">
        <v>892</v>
      </c>
      <c r="HA60" s="7">
        <v>771</v>
      </c>
      <c r="HB60" s="7">
        <v>610</v>
      </c>
      <c r="HC60" s="7">
        <v>510</v>
      </c>
      <c r="HD60" s="7">
        <v>444</v>
      </c>
      <c r="HE60" s="7">
        <v>331</v>
      </c>
      <c r="HF60" s="7">
        <v>262</v>
      </c>
      <c r="HG60" s="7">
        <v>199</v>
      </c>
      <c r="HH60" s="7">
        <v>197</v>
      </c>
      <c r="HI60" s="7">
        <v>154</v>
      </c>
      <c r="HJ60" s="7">
        <v>132</v>
      </c>
      <c r="HK60" s="7">
        <v>97</v>
      </c>
      <c r="HL60" s="7">
        <v>79</v>
      </c>
      <c r="HM60" s="7">
        <v>46</v>
      </c>
      <c r="HN60" s="7">
        <v>21</v>
      </c>
      <c r="HO60" s="7">
        <v>14</v>
      </c>
      <c r="HP60" s="7">
        <v>17</v>
      </c>
      <c r="HQ60" s="7">
        <v>3534</v>
      </c>
      <c r="HR60" s="7">
        <v>1</v>
      </c>
      <c r="HS60" s="7">
        <v>0</v>
      </c>
      <c r="HT60" s="7">
        <v>0</v>
      </c>
      <c r="HU60" s="7">
        <v>0</v>
      </c>
      <c r="HV60" s="7">
        <v>0</v>
      </c>
      <c r="HW60" s="7">
        <v>0</v>
      </c>
      <c r="HX60" s="7">
        <v>374</v>
      </c>
      <c r="HY60" s="7">
        <v>107</v>
      </c>
      <c r="HZ60" s="7">
        <v>410</v>
      </c>
      <c r="IA60" s="7">
        <v>456</v>
      </c>
      <c r="IB60" s="7">
        <v>482</v>
      </c>
      <c r="IC60" s="7">
        <v>497</v>
      </c>
      <c r="ID60" s="7">
        <v>445</v>
      </c>
      <c r="IE60" s="7">
        <v>365</v>
      </c>
      <c r="IF60" s="7">
        <v>304</v>
      </c>
      <c r="IG60" s="7">
        <v>489</v>
      </c>
      <c r="IH60" s="7">
        <v>512</v>
      </c>
      <c r="II60" s="7">
        <v>2236</v>
      </c>
      <c r="IJ60" s="7">
        <v>512</v>
      </c>
      <c r="IK60" s="7">
        <v>162</v>
      </c>
      <c r="IL60" s="7">
        <v>68</v>
      </c>
      <c r="IM60" s="7">
        <v>12</v>
      </c>
      <c r="IN60" s="7">
        <v>4</v>
      </c>
      <c r="IO60" s="7">
        <v>2</v>
      </c>
      <c r="IP60" s="7">
        <v>2</v>
      </c>
      <c r="IQ60" s="7">
        <v>2761</v>
      </c>
      <c r="IR60" s="7">
        <v>535</v>
      </c>
      <c r="IS60" s="7">
        <v>137</v>
      </c>
      <c r="IT60" s="7">
        <v>67</v>
      </c>
      <c r="IU60" s="7">
        <v>13</v>
      </c>
      <c r="IV60" s="7">
        <v>348</v>
      </c>
      <c r="IW60" s="7">
        <v>2071</v>
      </c>
      <c r="IX60" s="7">
        <v>126</v>
      </c>
      <c r="IY60" s="7">
        <v>113</v>
      </c>
      <c r="IZ60" s="7">
        <v>0</v>
      </c>
      <c r="JA60" s="7">
        <v>886</v>
      </c>
      <c r="JB60" s="7">
        <v>410</v>
      </c>
      <c r="JC60" s="7">
        <v>1258</v>
      </c>
      <c r="JD60" s="7">
        <v>45</v>
      </c>
      <c r="JE60" s="7">
        <v>56</v>
      </c>
      <c r="JF60" s="151">
        <v>3325.1519358503729</v>
      </c>
      <c r="JG60" s="151">
        <v>221.00095183395771</v>
      </c>
      <c r="JH60" s="7">
        <v>674</v>
      </c>
      <c r="JI60" s="7">
        <v>2858</v>
      </c>
      <c r="JJ60" s="7">
        <v>13</v>
      </c>
      <c r="JK60" s="7">
        <v>10</v>
      </c>
      <c r="JL60" s="7">
        <v>100</v>
      </c>
      <c r="JM60" s="7">
        <v>39</v>
      </c>
      <c r="JN60" s="7">
        <v>87</v>
      </c>
      <c r="JO60" s="7">
        <v>1114</v>
      </c>
      <c r="JP60" s="7">
        <v>741</v>
      </c>
      <c r="JQ60" s="7">
        <v>22</v>
      </c>
      <c r="JR60" s="7">
        <v>102</v>
      </c>
      <c r="JS60" s="7">
        <v>403</v>
      </c>
      <c r="JT60" s="7">
        <v>11</v>
      </c>
      <c r="JU60" s="151">
        <v>69.673360961831534</v>
      </c>
      <c r="JV60" s="151">
        <v>1736.1200711626752</v>
      </c>
      <c r="JW60" s="151">
        <v>1504.2441767447281</v>
      </c>
      <c r="JX60" s="151">
        <v>15.114326981138058</v>
      </c>
      <c r="JY60" s="7">
        <v>3328</v>
      </c>
      <c r="JZ60" s="7">
        <v>19175</v>
      </c>
      <c r="KA60" s="7">
        <v>6</v>
      </c>
      <c r="KB60" s="7">
        <v>0</v>
      </c>
      <c r="KC60" s="7">
        <v>0</v>
      </c>
      <c r="KD60" s="7">
        <v>0</v>
      </c>
      <c r="KE60" s="7">
        <v>0</v>
      </c>
      <c r="KF60" s="7">
        <v>0</v>
      </c>
      <c r="KG60" s="7">
        <v>1168</v>
      </c>
      <c r="KH60" s="7">
        <v>3391</v>
      </c>
      <c r="KI60" s="7">
        <v>15789</v>
      </c>
      <c r="KJ60" s="7">
        <v>65</v>
      </c>
      <c r="KK60" s="7">
        <v>42</v>
      </c>
      <c r="KL60" s="7">
        <v>378</v>
      </c>
      <c r="KM60" s="7">
        <v>9419</v>
      </c>
      <c r="KN60" s="7">
        <v>8161</v>
      </c>
      <c r="KO60" s="7">
        <v>82</v>
      </c>
      <c r="KP60" s="7">
        <v>18040</v>
      </c>
      <c r="KQ60" s="7">
        <v>1199</v>
      </c>
      <c r="KR60" s="7">
        <v>3428</v>
      </c>
      <c r="KS60" s="7">
        <v>3428</v>
      </c>
      <c r="KT60" s="7">
        <v>741</v>
      </c>
      <c r="KU60" s="7">
        <v>252</v>
      </c>
      <c r="KV60" s="7">
        <v>477</v>
      </c>
      <c r="KW60" s="7">
        <v>0</v>
      </c>
      <c r="KX60" s="7">
        <v>755</v>
      </c>
      <c r="KY60" s="7">
        <v>205</v>
      </c>
      <c r="KZ60" s="7">
        <v>378</v>
      </c>
      <c r="LA60" s="7">
        <v>1</v>
      </c>
      <c r="LB60" s="7">
        <v>1851</v>
      </c>
      <c r="LC60" s="7">
        <v>1823</v>
      </c>
      <c r="LD60" s="7">
        <v>852</v>
      </c>
      <c r="LE60" s="7">
        <v>1859</v>
      </c>
      <c r="LF60" s="7">
        <v>10416</v>
      </c>
      <c r="LG60" s="7">
        <v>14</v>
      </c>
      <c r="LH60" s="7">
        <v>2632</v>
      </c>
      <c r="LI60" s="7">
        <v>333</v>
      </c>
      <c r="LJ60" s="7">
        <v>837</v>
      </c>
      <c r="LK60" s="7">
        <v>1</v>
      </c>
      <c r="LL60" s="7">
        <v>411</v>
      </c>
      <c r="LM60" s="7">
        <v>73</v>
      </c>
      <c r="LN60" s="7">
        <v>13</v>
      </c>
      <c r="LO60" s="7">
        <v>2741</v>
      </c>
      <c r="LP60" s="7">
        <v>238</v>
      </c>
      <c r="LQ60" s="7">
        <v>532</v>
      </c>
      <c r="LR60" s="7">
        <v>1</v>
      </c>
      <c r="LS60" s="7">
        <v>205</v>
      </c>
      <c r="LT60" s="7">
        <v>34</v>
      </c>
      <c r="LU60" s="232">
        <v>4.9706420252000001</v>
      </c>
      <c r="LV60" s="232">
        <v>5.7001788197999996</v>
      </c>
      <c r="LW60" s="232">
        <v>4.2851008215000004</v>
      </c>
      <c r="LX60" s="7">
        <v>3555</v>
      </c>
      <c r="LY60" s="7">
        <v>19287</v>
      </c>
    </row>
    <row r="61" spans="1:337" x14ac:dyDescent="0.25">
      <c r="A61" t="s">
        <v>140</v>
      </c>
      <c r="B61" t="s">
        <v>141</v>
      </c>
      <c r="C61" s="7">
        <v>86413</v>
      </c>
      <c r="D61">
        <v>111484</v>
      </c>
      <c r="F61">
        <f t="shared" si="2"/>
        <v>-111484</v>
      </c>
      <c r="G61">
        <f t="shared" si="3"/>
        <v>-100</v>
      </c>
      <c r="H61">
        <v>54787</v>
      </c>
      <c r="I61">
        <v>56697</v>
      </c>
      <c r="J61">
        <v>23950</v>
      </c>
      <c r="K61">
        <v>87534</v>
      </c>
      <c r="L61" s="7">
        <v>6503</v>
      </c>
      <c r="M61" s="7">
        <v>6995</v>
      </c>
      <c r="N61" s="7">
        <v>7102</v>
      </c>
      <c r="O61" s="7">
        <v>6433</v>
      </c>
      <c r="P61" s="7">
        <v>5167</v>
      </c>
      <c r="Q61" s="7">
        <v>4018</v>
      </c>
      <c r="R61" s="7">
        <v>3219</v>
      </c>
      <c r="S61" s="7">
        <v>2955</v>
      </c>
      <c r="T61" s="7">
        <v>2231</v>
      </c>
      <c r="U61" s="7">
        <v>1942</v>
      </c>
      <c r="V61" s="7">
        <v>1459</v>
      </c>
      <c r="W61" s="7">
        <v>1310</v>
      </c>
      <c r="X61" s="7">
        <v>1082</v>
      </c>
      <c r="Y61" s="7">
        <v>2280</v>
      </c>
      <c r="Z61" s="7">
        <v>2091</v>
      </c>
      <c r="AA61" s="7">
        <v>6629</v>
      </c>
      <c r="AB61" s="7">
        <v>7152</v>
      </c>
      <c r="AC61" s="7">
        <v>6973</v>
      </c>
      <c r="AD61" s="7">
        <v>6588</v>
      </c>
      <c r="AE61" s="7">
        <v>5806</v>
      </c>
      <c r="AF61" s="7">
        <v>4417</v>
      </c>
      <c r="AG61" s="7">
        <v>3703</v>
      </c>
      <c r="AH61" s="7">
        <v>3175</v>
      </c>
      <c r="AI61" s="7">
        <v>2323</v>
      </c>
      <c r="AJ61" s="7">
        <v>1993</v>
      </c>
      <c r="AK61" s="7">
        <v>1446</v>
      </c>
      <c r="AL61" s="7">
        <v>1287</v>
      </c>
      <c r="AM61" s="7">
        <v>1092</v>
      </c>
      <c r="AN61" s="7">
        <v>2017</v>
      </c>
      <c r="AO61" s="7">
        <v>2096</v>
      </c>
      <c r="AP61">
        <v>105893</v>
      </c>
      <c r="AQ61">
        <v>414</v>
      </c>
      <c r="AR61">
        <v>62</v>
      </c>
      <c r="AS61">
        <v>652</v>
      </c>
      <c r="AT61">
        <v>4463</v>
      </c>
      <c r="AU61" s="7">
        <v>49571</v>
      </c>
      <c r="AV61" s="7">
        <v>24565</v>
      </c>
      <c r="AW61" s="7">
        <v>25006</v>
      </c>
      <c r="AX61" s="7">
        <v>34937</v>
      </c>
      <c r="AY61" s="7">
        <v>49571</v>
      </c>
      <c r="AZ61" s="7">
        <v>43876</v>
      </c>
      <c r="BA61" s="7">
        <v>5695</v>
      </c>
      <c r="BB61" s="7">
        <v>1184</v>
      </c>
      <c r="BC61" s="7">
        <v>1168</v>
      </c>
      <c r="BD61" s="7">
        <v>3265</v>
      </c>
      <c r="BE61" s="7">
        <v>3291</v>
      </c>
      <c r="BF61" s="7">
        <v>3470</v>
      </c>
      <c r="BG61" s="7">
        <v>3388</v>
      </c>
      <c r="BH61" s="7">
        <v>3179</v>
      </c>
      <c r="BI61" s="7">
        <v>3235</v>
      </c>
      <c r="BJ61" s="7">
        <v>2562</v>
      </c>
      <c r="BK61" s="7">
        <v>2887</v>
      </c>
      <c r="BL61" s="7">
        <v>2034</v>
      </c>
      <c r="BM61" s="7">
        <v>2147</v>
      </c>
      <c r="BN61" s="7">
        <v>1645</v>
      </c>
      <c r="BO61" s="7">
        <v>1815</v>
      </c>
      <c r="BP61" s="7">
        <v>1525</v>
      </c>
      <c r="BQ61" s="7">
        <v>1539</v>
      </c>
      <c r="BR61" s="7">
        <v>1160</v>
      </c>
      <c r="BS61" s="7">
        <v>1198</v>
      </c>
      <c r="BT61" s="7">
        <v>1075</v>
      </c>
      <c r="BU61" s="7">
        <v>1087</v>
      </c>
      <c r="BV61" s="7">
        <v>823</v>
      </c>
      <c r="BW61" s="7">
        <v>768</v>
      </c>
      <c r="BX61" s="7">
        <v>748</v>
      </c>
      <c r="BY61" s="7">
        <v>748</v>
      </c>
      <c r="BZ61" s="7">
        <v>610</v>
      </c>
      <c r="CA61" s="7">
        <v>594</v>
      </c>
      <c r="CB61" s="7">
        <v>1285</v>
      </c>
      <c r="CC61" s="7">
        <v>1141</v>
      </c>
      <c r="CD61" s="7">
        <v>20036</v>
      </c>
      <c r="CE61" s="7">
        <v>17576</v>
      </c>
      <c r="CF61" s="7">
        <v>4311</v>
      </c>
      <c r="CG61" s="7">
        <v>7140</v>
      </c>
      <c r="CH61" s="7">
        <v>17702</v>
      </c>
      <c r="CI61" s="7">
        <v>2586</v>
      </c>
      <c r="CJ61" s="7">
        <v>96804</v>
      </c>
      <c r="CK61" s="7">
        <v>10519</v>
      </c>
      <c r="CL61" s="7">
        <v>593</v>
      </c>
      <c r="CM61" s="7">
        <v>1663</v>
      </c>
      <c r="CN61" s="7">
        <v>2585</v>
      </c>
      <c r="CO61" s="7">
        <v>3751</v>
      </c>
      <c r="CP61" s="7">
        <v>3600</v>
      </c>
      <c r="CQ61" s="7">
        <v>8096</v>
      </c>
      <c r="CR61" s="7">
        <v>17153</v>
      </c>
      <c r="CS61" s="7">
        <v>53608</v>
      </c>
      <c r="CT61" s="7">
        <v>8392</v>
      </c>
      <c r="CU61" s="7">
        <v>4124</v>
      </c>
      <c r="CV61" s="7">
        <v>1148</v>
      </c>
      <c r="CW61" s="7">
        <v>2129</v>
      </c>
      <c r="CX61" s="7">
        <v>185</v>
      </c>
      <c r="CY61" s="7">
        <v>62761</v>
      </c>
      <c r="CZ61" s="7">
        <v>41468</v>
      </c>
      <c r="DA61" s="7">
        <v>765</v>
      </c>
      <c r="DB61" s="7">
        <v>593</v>
      </c>
      <c r="DC61" s="7">
        <v>40</v>
      </c>
      <c r="DD61" s="7">
        <v>17190</v>
      </c>
      <c r="DE61" s="7">
        <v>17906</v>
      </c>
      <c r="DF61" s="7">
        <v>52438</v>
      </c>
      <c r="DG61" s="7">
        <v>3164</v>
      </c>
      <c r="DH61" s="7">
        <v>0</v>
      </c>
      <c r="DI61" s="7">
        <v>20786</v>
      </c>
      <c r="DJ61" s="7">
        <v>0</v>
      </c>
      <c r="DK61" s="7">
        <v>0</v>
      </c>
      <c r="DL61" s="7">
        <v>284</v>
      </c>
      <c r="DM61" s="7">
        <v>49</v>
      </c>
      <c r="DN61" s="7">
        <v>58</v>
      </c>
      <c r="DO61" s="7">
        <v>1</v>
      </c>
      <c r="DP61" s="7">
        <v>0</v>
      </c>
      <c r="DQ61" s="7">
        <v>1</v>
      </c>
      <c r="DR61" s="7">
        <v>0</v>
      </c>
      <c r="DS61" s="7">
        <v>0</v>
      </c>
      <c r="DT61" s="7">
        <v>504</v>
      </c>
      <c r="DU61" s="7">
        <v>578</v>
      </c>
      <c r="DV61" s="7">
        <v>331</v>
      </c>
      <c r="DW61" s="7">
        <v>257</v>
      </c>
      <c r="DX61" s="7">
        <v>149</v>
      </c>
      <c r="DY61" s="7">
        <v>100</v>
      </c>
      <c r="DZ61" s="7">
        <v>139</v>
      </c>
      <c r="EA61" s="7">
        <v>134</v>
      </c>
      <c r="EB61" s="7">
        <v>51</v>
      </c>
      <c r="EC61" s="7">
        <v>60</v>
      </c>
      <c r="ED61" s="7">
        <v>41</v>
      </c>
      <c r="EE61" s="7">
        <v>25</v>
      </c>
      <c r="EF61" s="7">
        <v>151</v>
      </c>
      <c r="EG61" s="7">
        <v>125</v>
      </c>
      <c r="EH61" s="7">
        <v>663</v>
      </c>
      <c r="EI61" s="7">
        <v>401</v>
      </c>
      <c r="EJ61" s="7">
        <v>161</v>
      </c>
      <c r="EK61" s="7">
        <v>142</v>
      </c>
      <c r="EL61" s="7">
        <v>71</v>
      </c>
      <c r="EM61" s="7">
        <v>34</v>
      </c>
      <c r="EN61" s="7">
        <v>133</v>
      </c>
      <c r="EO61" s="7">
        <v>29465</v>
      </c>
      <c r="EP61" s="7">
        <v>29148</v>
      </c>
      <c r="EQ61" s="7">
        <v>317</v>
      </c>
      <c r="ER61" s="7">
        <v>6562</v>
      </c>
      <c r="ES61" s="7">
        <v>4799</v>
      </c>
      <c r="ET61" s="7">
        <v>4714</v>
      </c>
      <c r="EU61" s="7">
        <v>85</v>
      </c>
      <c r="EV61" s="7">
        <v>32978</v>
      </c>
      <c r="EW61" s="134">
        <v>82.310399223000005</v>
      </c>
      <c r="EX61" s="134">
        <v>6.3633054241</v>
      </c>
      <c r="EY61" s="134">
        <v>3.6840189297000001</v>
      </c>
      <c r="EZ61" s="134">
        <v>7.1738866642000003</v>
      </c>
      <c r="FA61" s="134">
        <v>0.46838975849999998</v>
      </c>
      <c r="FB61" s="7">
        <v>5686</v>
      </c>
      <c r="FC61" s="7">
        <v>19136</v>
      </c>
      <c r="FD61" s="7">
        <v>1193</v>
      </c>
      <c r="FE61" s="7">
        <v>4747</v>
      </c>
      <c r="FF61" s="7">
        <v>21</v>
      </c>
      <c r="FG61" s="7">
        <v>2146</v>
      </c>
      <c r="FH61" s="7">
        <v>1281</v>
      </c>
      <c r="FI61" s="134">
        <v>77.160538770000002</v>
      </c>
      <c r="FJ61" s="134">
        <v>5.4386603567999998</v>
      </c>
      <c r="FK61" s="134">
        <v>7.1617522144999999</v>
      </c>
      <c r="FL61" s="134">
        <v>10.239048659</v>
      </c>
      <c r="FM61" s="151">
        <v>28632</v>
      </c>
      <c r="FN61" s="151">
        <v>23881</v>
      </c>
      <c r="FO61" s="7">
        <v>1415</v>
      </c>
      <c r="FP61" s="7">
        <v>852</v>
      </c>
      <c r="FQ61" s="7">
        <v>268</v>
      </c>
      <c r="FR61" s="7">
        <v>23</v>
      </c>
      <c r="FS61" s="7">
        <v>25925</v>
      </c>
      <c r="FT61" s="7">
        <v>139</v>
      </c>
      <c r="FU61" s="7">
        <v>96</v>
      </c>
      <c r="FV61" s="7">
        <v>2274</v>
      </c>
      <c r="FW61" s="7">
        <v>32621</v>
      </c>
      <c r="FX61" s="7">
        <v>21737</v>
      </c>
      <c r="FY61" s="7">
        <v>1295</v>
      </c>
      <c r="FZ61" s="7">
        <v>829</v>
      </c>
      <c r="GA61" s="7">
        <v>307</v>
      </c>
      <c r="GB61" s="7">
        <v>18</v>
      </c>
      <c r="GC61" s="7">
        <v>30141</v>
      </c>
      <c r="GD61" s="7">
        <v>32</v>
      </c>
      <c r="GE61" s="7">
        <v>75</v>
      </c>
      <c r="GF61" s="7">
        <v>2339</v>
      </c>
      <c r="GG61" s="7">
        <v>3317</v>
      </c>
      <c r="GH61" s="7">
        <v>3978</v>
      </c>
      <c r="GI61" s="7">
        <v>3961</v>
      </c>
      <c r="GJ61" s="7">
        <v>3209</v>
      </c>
      <c r="GK61" s="7">
        <v>2346</v>
      </c>
      <c r="GL61" s="7">
        <v>2165</v>
      </c>
      <c r="GM61" s="7">
        <v>1867</v>
      </c>
      <c r="GN61" s="7">
        <v>1731</v>
      </c>
      <c r="GO61" s="7">
        <v>1322</v>
      </c>
      <c r="GP61" s="7">
        <v>1144</v>
      </c>
      <c r="GQ61" s="7">
        <v>837</v>
      </c>
      <c r="GR61" s="7">
        <v>737</v>
      </c>
      <c r="GS61" s="7">
        <v>602</v>
      </c>
      <c r="GT61" s="7">
        <v>466</v>
      </c>
      <c r="GU61" s="7">
        <v>459</v>
      </c>
      <c r="GV61" s="7">
        <v>235</v>
      </c>
      <c r="GW61" s="7">
        <v>129</v>
      </c>
      <c r="GX61" s="7">
        <v>124</v>
      </c>
      <c r="GY61" s="7">
        <v>3458</v>
      </c>
      <c r="GZ61" s="7">
        <v>4007</v>
      </c>
      <c r="HA61" s="7">
        <v>4024</v>
      </c>
      <c r="HB61" s="7">
        <v>3424</v>
      </c>
      <c r="HC61" s="7">
        <v>3313</v>
      </c>
      <c r="HD61" s="7">
        <v>2775</v>
      </c>
      <c r="HE61" s="7">
        <v>2490</v>
      </c>
      <c r="HF61" s="7">
        <v>2176</v>
      </c>
      <c r="HG61" s="7">
        <v>1638</v>
      </c>
      <c r="HH61" s="7">
        <v>1368</v>
      </c>
      <c r="HI61" s="7">
        <v>990</v>
      </c>
      <c r="HJ61" s="7">
        <v>839</v>
      </c>
      <c r="HK61" s="7">
        <v>750</v>
      </c>
      <c r="HL61" s="7">
        <v>496</v>
      </c>
      <c r="HM61" s="7">
        <v>431</v>
      </c>
      <c r="HN61" s="7">
        <v>225</v>
      </c>
      <c r="HO61" s="7">
        <v>99</v>
      </c>
      <c r="HP61" s="7">
        <v>109</v>
      </c>
      <c r="HQ61" s="7">
        <v>20187</v>
      </c>
      <c r="HR61" s="7">
        <v>3</v>
      </c>
      <c r="HS61" s="7">
        <v>5</v>
      </c>
      <c r="HT61" s="7">
        <v>2</v>
      </c>
      <c r="HU61" s="7">
        <v>2</v>
      </c>
      <c r="HV61" s="7">
        <v>1</v>
      </c>
      <c r="HW61" s="7">
        <v>0</v>
      </c>
      <c r="HX61" s="7">
        <v>1475</v>
      </c>
      <c r="HY61" s="7">
        <v>593</v>
      </c>
      <c r="HZ61" s="7">
        <v>1662</v>
      </c>
      <c r="IA61" s="7">
        <v>2585</v>
      </c>
      <c r="IB61" s="7">
        <v>3751</v>
      </c>
      <c r="IC61" s="7">
        <v>3600</v>
      </c>
      <c r="ID61" s="7">
        <v>2900</v>
      </c>
      <c r="IE61" s="7">
        <v>1828</v>
      </c>
      <c r="IF61" s="7">
        <v>1240</v>
      </c>
      <c r="IG61" s="7">
        <v>2126</v>
      </c>
      <c r="IH61" s="7">
        <v>497</v>
      </c>
      <c r="II61" s="7">
        <v>4543</v>
      </c>
      <c r="IJ61" s="7">
        <v>6673</v>
      </c>
      <c r="IK61" s="7">
        <v>4589</v>
      </c>
      <c r="IL61" s="7">
        <v>2349</v>
      </c>
      <c r="IM61" s="7">
        <v>935</v>
      </c>
      <c r="IN61" s="7">
        <v>336</v>
      </c>
      <c r="IO61" s="7">
        <v>136</v>
      </c>
      <c r="IP61" s="7">
        <v>121</v>
      </c>
      <c r="IQ61" s="7">
        <v>6963</v>
      </c>
      <c r="IR61" s="7">
        <v>8192</v>
      </c>
      <c r="IS61" s="7">
        <v>3424</v>
      </c>
      <c r="IT61" s="7">
        <v>1318</v>
      </c>
      <c r="IU61" s="7">
        <v>310</v>
      </c>
      <c r="IV61" s="7">
        <v>4884</v>
      </c>
      <c r="IW61" s="7">
        <v>7365</v>
      </c>
      <c r="IX61" s="7">
        <v>489</v>
      </c>
      <c r="IY61" s="7">
        <v>150</v>
      </c>
      <c r="IZ61" s="7">
        <v>227</v>
      </c>
      <c r="JA61" s="7">
        <v>7066</v>
      </c>
      <c r="JB61" s="7">
        <v>5564</v>
      </c>
      <c r="JC61" s="7">
        <v>2393</v>
      </c>
      <c r="JD61" s="7">
        <v>12</v>
      </c>
      <c r="JE61" s="7">
        <v>6</v>
      </c>
      <c r="JF61" s="151">
        <v>19719.567619803045</v>
      </c>
      <c r="JG61" s="151">
        <v>485.82469403441303</v>
      </c>
      <c r="JH61" s="7">
        <v>3745</v>
      </c>
      <c r="JI61" s="7">
        <v>15443</v>
      </c>
      <c r="JJ61" s="7">
        <v>1006</v>
      </c>
      <c r="JK61" s="7">
        <v>91</v>
      </c>
      <c r="JL61" s="7">
        <v>5524</v>
      </c>
      <c r="JM61" s="7">
        <v>2828</v>
      </c>
      <c r="JN61" s="7">
        <v>2851</v>
      </c>
      <c r="JO61" s="7">
        <v>13212</v>
      </c>
      <c r="JP61" s="7">
        <v>11590</v>
      </c>
      <c r="JQ61" s="7">
        <v>960</v>
      </c>
      <c r="JR61" s="7">
        <v>1433</v>
      </c>
      <c r="JS61" s="7">
        <v>4076</v>
      </c>
      <c r="JT61" s="7">
        <v>405</v>
      </c>
      <c r="JU61" s="151">
        <v>1495.2814512887965</v>
      </c>
      <c r="JV61" s="151">
        <v>3862.778909688403</v>
      </c>
      <c r="JW61" s="151">
        <v>14176.251149816615</v>
      </c>
      <c r="JX61" s="151">
        <v>185.25610900923144</v>
      </c>
      <c r="JY61" s="7">
        <v>18190</v>
      </c>
      <c r="JZ61" s="7">
        <v>106832</v>
      </c>
      <c r="KA61" s="7">
        <v>9</v>
      </c>
      <c r="KB61" s="7">
        <v>35</v>
      </c>
      <c r="KC61" s="7">
        <v>10</v>
      </c>
      <c r="KD61" s="7">
        <v>12</v>
      </c>
      <c r="KE61" s="7">
        <v>6</v>
      </c>
      <c r="KF61" s="7">
        <v>0</v>
      </c>
      <c r="KG61" s="7">
        <v>4580</v>
      </c>
      <c r="KH61" s="7">
        <v>20586</v>
      </c>
      <c r="KI61" s="7">
        <v>81862</v>
      </c>
      <c r="KJ61" s="7">
        <v>4342</v>
      </c>
      <c r="KK61" s="7">
        <v>515</v>
      </c>
      <c r="KL61" s="7">
        <v>7910</v>
      </c>
      <c r="KM61" s="7">
        <v>20434</v>
      </c>
      <c r="KN61" s="7">
        <v>74992</v>
      </c>
      <c r="KO61" s="7">
        <v>980</v>
      </c>
      <c r="KP61" s="7">
        <v>104316</v>
      </c>
      <c r="KQ61" s="7">
        <v>2570</v>
      </c>
      <c r="KR61" s="7">
        <v>16579</v>
      </c>
      <c r="KS61" s="7">
        <v>16579</v>
      </c>
      <c r="KT61" s="7">
        <v>3501</v>
      </c>
      <c r="KU61" s="7">
        <v>1206</v>
      </c>
      <c r="KV61" s="7">
        <v>2374</v>
      </c>
      <c r="KW61" s="7">
        <v>4</v>
      </c>
      <c r="KX61" s="7">
        <v>3631</v>
      </c>
      <c r="KY61" s="7">
        <v>1136</v>
      </c>
      <c r="KZ61" s="7">
        <v>1994</v>
      </c>
      <c r="LA61" s="7">
        <v>6</v>
      </c>
      <c r="LB61" s="7">
        <v>8701</v>
      </c>
      <c r="LC61" s="7">
        <v>8674</v>
      </c>
      <c r="LD61" s="7">
        <v>6337</v>
      </c>
      <c r="LE61" s="7">
        <v>10783</v>
      </c>
      <c r="LF61" s="7">
        <v>65943</v>
      </c>
      <c r="LG61" s="7">
        <v>115</v>
      </c>
      <c r="LH61" s="7">
        <v>16629</v>
      </c>
      <c r="LI61" s="7">
        <v>1729</v>
      </c>
      <c r="LJ61" s="7">
        <v>4491</v>
      </c>
      <c r="LK61" s="7">
        <v>18</v>
      </c>
      <c r="LL61" s="7">
        <v>2605</v>
      </c>
      <c r="LM61" s="7">
        <v>1140</v>
      </c>
      <c r="LN61" s="7">
        <v>127</v>
      </c>
      <c r="LO61" s="7">
        <v>17986</v>
      </c>
      <c r="LP61" s="7">
        <v>1371</v>
      </c>
      <c r="LQ61" s="7">
        <v>3640</v>
      </c>
      <c r="LR61" s="7">
        <v>26</v>
      </c>
      <c r="LS61" s="7">
        <v>1752</v>
      </c>
      <c r="LT61" s="7">
        <v>764</v>
      </c>
      <c r="LU61" s="232">
        <v>5.0335203195</v>
      </c>
      <c r="LV61" s="232">
        <v>5.5150053254999998</v>
      </c>
      <c r="LW61" s="232">
        <v>4.5771674583999999</v>
      </c>
      <c r="LX61" s="7">
        <v>20285</v>
      </c>
      <c r="LY61" s="7">
        <v>107305</v>
      </c>
    </row>
    <row r="62" spans="1:337" x14ac:dyDescent="0.25">
      <c r="A62" t="s">
        <v>186</v>
      </c>
      <c r="B62" t="s">
        <v>187</v>
      </c>
      <c r="C62" s="7">
        <v>21100</v>
      </c>
      <c r="D62">
        <v>25530</v>
      </c>
      <c r="F62">
        <f t="shared" si="2"/>
        <v>-25530</v>
      </c>
      <c r="G62">
        <f t="shared" si="3"/>
        <v>-100</v>
      </c>
      <c r="H62">
        <v>12659</v>
      </c>
      <c r="I62">
        <v>12871</v>
      </c>
      <c r="J62">
        <v>18817</v>
      </c>
      <c r="K62">
        <v>6713</v>
      </c>
      <c r="L62" s="7">
        <v>1440</v>
      </c>
      <c r="M62" s="7">
        <v>1529</v>
      </c>
      <c r="N62" s="7">
        <v>1486</v>
      </c>
      <c r="O62" s="7">
        <v>1507</v>
      </c>
      <c r="P62" s="7">
        <v>1190</v>
      </c>
      <c r="Q62" s="7">
        <v>939</v>
      </c>
      <c r="R62" s="7">
        <v>792</v>
      </c>
      <c r="S62" s="7">
        <v>733</v>
      </c>
      <c r="T62" s="7">
        <v>662</v>
      </c>
      <c r="U62" s="7">
        <v>526</v>
      </c>
      <c r="V62" s="7">
        <v>410</v>
      </c>
      <c r="W62" s="7">
        <v>372</v>
      </c>
      <c r="X62" s="7">
        <v>279</v>
      </c>
      <c r="Y62" s="7">
        <v>720</v>
      </c>
      <c r="Z62" s="7">
        <v>74</v>
      </c>
      <c r="AA62" s="7">
        <v>1398</v>
      </c>
      <c r="AB62" s="7">
        <v>1482</v>
      </c>
      <c r="AC62" s="7">
        <v>1394</v>
      </c>
      <c r="AD62" s="7">
        <v>1509</v>
      </c>
      <c r="AE62" s="7">
        <v>1217</v>
      </c>
      <c r="AF62" s="7">
        <v>1035</v>
      </c>
      <c r="AG62" s="7">
        <v>877</v>
      </c>
      <c r="AH62" s="7">
        <v>830</v>
      </c>
      <c r="AI62" s="7">
        <v>650</v>
      </c>
      <c r="AJ62" s="7">
        <v>566</v>
      </c>
      <c r="AK62" s="7">
        <v>457</v>
      </c>
      <c r="AL62" s="7">
        <v>370</v>
      </c>
      <c r="AM62" s="7">
        <v>268</v>
      </c>
      <c r="AN62" s="7">
        <v>745</v>
      </c>
      <c r="AO62" s="7">
        <v>73</v>
      </c>
      <c r="AP62">
        <v>25181</v>
      </c>
      <c r="AQ62">
        <v>112</v>
      </c>
      <c r="AR62">
        <v>17</v>
      </c>
      <c r="AS62">
        <v>17</v>
      </c>
      <c r="AT62">
        <v>203</v>
      </c>
      <c r="AU62" s="7">
        <v>1346</v>
      </c>
      <c r="AV62" s="7">
        <v>736</v>
      </c>
      <c r="AW62" s="7">
        <v>610</v>
      </c>
      <c r="AX62" s="7">
        <v>1480</v>
      </c>
      <c r="AY62" s="7">
        <v>1346</v>
      </c>
      <c r="AZ62" s="7">
        <v>359</v>
      </c>
      <c r="BA62" s="7">
        <v>987</v>
      </c>
      <c r="BB62" s="7">
        <v>6</v>
      </c>
      <c r="BC62" s="7">
        <v>4</v>
      </c>
      <c r="BD62" s="7">
        <v>13</v>
      </c>
      <c r="BE62" s="7">
        <v>20</v>
      </c>
      <c r="BF62" s="7">
        <v>17</v>
      </c>
      <c r="BG62" s="7">
        <v>20</v>
      </c>
      <c r="BH62" s="7">
        <v>26</v>
      </c>
      <c r="BI62" s="7">
        <v>25</v>
      </c>
      <c r="BJ62" s="7">
        <v>39</v>
      </c>
      <c r="BK62" s="7">
        <v>20</v>
      </c>
      <c r="BL62" s="7">
        <v>32</v>
      </c>
      <c r="BM62" s="7">
        <v>22</v>
      </c>
      <c r="BN62" s="7">
        <v>39</v>
      </c>
      <c r="BO62" s="7">
        <v>19</v>
      </c>
      <c r="BP62" s="7">
        <v>42</v>
      </c>
      <c r="BQ62" s="7">
        <v>34</v>
      </c>
      <c r="BR62" s="7">
        <v>65</v>
      </c>
      <c r="BS62" s="7">
        <v>42</v>
      </c>
      <c r="BT62" s="7">
        <v>70</v>
      </c>
      <c r="BU62" s="7">
        <v>57</v>
      </c>
      <c r="BV62" s="7">
        <v>71</v>
      </c>
      <c r="BW62" s="7">
        <v>64</v>
      </c>
      <c r="BX62" s="7">
        <v>59</v>
      </c>
      <c r="BY62" s="7">
        <v>72</v>
      </c>
      <c r="BZ62" s="7">
        <v>65</v>
      </c>
      <c r="CA62" s="7">
        <v>46</v>
      </c>
      <c r="CB62" s="7">
        <v>192</v>
      </c>
      <c r="CC62" s="7">
        <v>165</v>
      </c>
      <c r="CD62" s="7">
        <v>657</v>
      </c>
      <c r="CE62" s="7">
        <v>549</v>
      </c>
      <c r="CF62" s="7">
        <v>4</v>
      </c>
      <c r="CG62" s="7">
        <v>8</v>
      </c>
      <c r="CH62" s="7">
        <v>4873</v>
      </c>
      <c r="CI62" s="7">
        <v>1031</v>
      </c>
      <c r="CJ62" s="7">
        <v>21797</v>
      </c>
      <c r="CK62" s="7">
        <v>3592</v>
      </c>
      <c r="CL62" s="7">
        <v>372</v>
      </c>
      <c r="CM62" s="7">
        <v>737</v>
      </c>
      <c r="CN62" s="7">
        <v>1026</v>
      </c>
      <c r="CO62" s="7">
        <v>1299</v>
      </c>
      <c r="CP62" s="7">
        <v>1110</v>
      </c>
      <c r="CQ62" s="7">
        <v>1360</v>
      </c>
      <c r="CR62" s="7">
        <v>4609</v>
      </c>
      <c r="CS62" s="7">
        <v>11952</v>
      </c>
      <c r="CT62" s="7">
        <v>1436</v>
      </c>
      <c r="CU62" s="7">
        <v>575</v>
      </c>
      <c r="CV62" s="7">
        <v>203</v>
      </c>
      <c r="CW62" s="7">
        <v>536</v>
      </c>
      <c r="CX62" s="7">
        <v>33</v>
      </c>
      <c r="CY62" s="7">
        <v>16684</v>
      </c>
      <c r="CZ62" s="7">
        <v>7593</v>
      </c>
      <c r="DA62" s="7">
        <v>91</v>
      </c>
      <c r="DB62" s="7">
        <v>372</v>
      </c>
      <c r="DC62" s="7">
        <v>18</v>
      </c>
      <c r="DD62" s="7">
        <v>4040</v>
      </c>
      <c r="DE62" s="7">
        <v>792</v>
      </c>
      <c r="DF62" s="7">
        <v>1881</v>
      </c>
      <c r="DG62" s="7">
        <v>0</v>
      </c>
      <c r="DH62" s="7">
        <v>0</v>
      </c>
      <c r="DI62" s="7">
        <v>18817</v>
      </c>
      <c r="DJ62" s="7">
        <v>0</v>
      </c>
      <c r="DK62" s="7">
        <v>0</v>
      </c>
      <c r="DL62" s="7">
        <v>100</v>
      </c>
      <c r="DM62" s="7">
        <v>2</v>
      </c>
      <c r="DN62" s="7">
        <v>3</v>
      </c>
      <c r="DO62" s="7">
        <v>0</v>
      </c>
      <c r="DP62" s="7">
        <v>0</v>
      </c>
      <c r="DQ62" s="7">
        <v>1</v>
      </c>
      <c r="DR62" s="7">
        <v>0</v>
      </c>
      <c r="DS62" s="7">
        <v>0</v>
      </c>
      <c r="DT62" s="7">
        <v>228</v>
      </c>
      <c r="DU62" s="7">
        <v>254</v>
      </c>
      <c r="DV62" s="7">
        <v>126</v>
      </c>
      <c r="DW62" s="7">
        <v>141</v>
      </c>
      <c r="DX62" s="7">
        <v>67</v>
      </c>
      <c r="DY62" s="7">
        <v>55</v>
      </c>
      <c r="DZ62" s="7">
        <v>43</v>
      </c>
      <c r="EA62" s="7">
        <v>33</v>
      </c>
      <c r="EB62" s="7">
        <v>20</v>
      </c>
      <c r="EC62" s="7">
        <v>22</v>
      </c>
      <c r="ED62" s="7">
        <v>21</v>
      </c>
      <c r="EE62" s="7">
        <v>15</v>
      </c>
      <c r="EF62" s="7">
        <v>45</v>
      </c>
      <c r="EG62" s="7">
        <v>32</v>
      </c>
      <c r="EH62" s="7">
        <v>376</v>
      </c>
      <c r="EI62" s="7">
        <v>216</v>
      </c>
      <c r="EJ62" s="7">
        <v>91</v>
      </c>
      <c r="EK62" s="7">
        <v>58</v>
      </c>
      <c r="EL62" s="7">
        <v>33</v>
      </c>
      <c r="EM62" s="7">
        <v>26</v>
      </c>
      <c r="EN62" s="7">
        <v>58</v>
      </c>
      <c r="EO62" s="7">
        <v>7333</v>
      </c>
      <c r="EP62" s="7">
        <v>7107</v>
      </c>
      <c r="EQ62" s="7">
        <v>226</v>
      </c>
      <c r="ER62" s="7">
        <v>1639</v>
      </c>
      <c r="ES62" s="7">
        <v>2148</v>
      </c>
      <c r="ET62" s="7">
        <v>2132</v>
      </c>
      <c r="EU62" s="7">
        <v>16</v>
      </c>
      <c r="EV62" s="7">
        <v>7147</v>
      </c>
      <c r="EW62" s="134">
        <v>53.662114885000001</v>
      </c>
      <c r="EX62" s="134">
        <v>12.978219163</v>
      </c>
      <c r="EY62" s="134">
        <v>11.894819997999999</v>
      </c>
      <c r="EZ62" s="134">
        <v>20.483015461000001</v>
      </c>
      <c r="FA62" s="134">
        <v>0.98183049320000004</v>
      </c>
      <c r="FB62" s="7">
        <v>2497</v>
      </c>
      <c r="FC62" s="7">
        <v>4651</v>
      </c>
      <c r="FD62" s="7">
        <v>234</v>
      </c>
      <c r="FE62" s="7">
        <v>971</v>
      </c>
      <c r="FF62" s="7">
        <v>7</v>
      </c>
      <c r="FG62" s="7">
        <v>549</v>
      </c>
      <c r="FH62" s="7">
        <v>555</v>
      </c>
      <c r="FI62" s="134">
        <v>52.984990406999998</v>
      </c>
      <c r="FJ62" s="134">
        <v>31.147725990000001</v>
      </c>
      <c r="FK62" s="134">
        <v>11.590113983</v>
      </c>
      <c r="FL62" s="134">
        <v>4.2771696197000004</v>
      </c>
      <c r="FM62" s="151">
        <v>9507</v>
      </c>
      <c r="FN62" s="151">
        <v>3054</v>
      </c>
      <c r="FO62" s="7">
        <v>567</v>
      </c>
      <c r="FP62" s="7">
        <v>325</v>
      </c>
      <c r="FQ62" s="7">
        <v>45</v>
      </c>
      <c r="FR62" s="7">
        <v>6</v>
      </c>
      <c r="FS62" s="7">
        <v>8638</v>
      </c>
      <c r="FT62" s="7">
        <v>8</v>
      </c>
      <c r="FU62" s="7">
        <v>16</v>
      </c>
      <c r="FV62" s="7">
        <v>98</v>
      </c>
      <c r="FW62" s="7">
        <v>10275</v>
      </c>
      <c r="FX62" s="7">
        <v>2498</v>
      </c>
      <c r="FY62" s="7">
        <v>523</v>
      </c>
      <c r="FZ62" s="7">
        <v>320</v>
      </c>
      <c r="GA62" s="7">
        <v>56</v>
      </c>
      <c r="GB62" s="7">
        <v>6</v>
      </c>
      <c r="GC62" s="7">
        <v>9418</v>
      </c>
      <c r="GD62" s="7">
        <v>8</v>
      </c>
      <c r="GE62" s="7">
        <v>21</v>
      </c>
      <c r="GF62" s="7">
        <v>98</v>
      </c>
      <c r="GG62" s="7">
        <v>1096</v>
      </c>
      <c r="GH62" s="7">
        <v>1240</v>
      </c>
      <c r="GI62" s="7">
        <v>1173</v>
      </c>
      <c r="GJ62" s="7">
        <v>1078</v>
      </c>
      <c r="GK62" s="7">
        <v>738</v>
      </c>
      <c r="GL62" s="7">
        <v>708</v>
      </c>
      <c r="GM62" s="7">
        <v>615</v>
      </c>
      <c r="GN62" s="7">
        <v>563</v>
      </c>
      <c r="GO62" s="7">
        <v>507</v>
      </c>
      <c r="GP62" s="7">
        <v>393</v>
      </c>
      <c r="GQ62" s="7">
        <v>306</v>
      </c>
      <c r="GR62" s="7">
        <v>290</v>
      </c>
      <c r="GS62" s="7">
        <v>219</v>
      </c>
      <c r="GT62" s="7">
        <v>167</v>
      </c>
      <c r="GU62" s="7">
        <v>170</v>
      </c>
      <c r="GV62" s="7">
        <v>111</v>
      </c>
      <c r="GW62" s="7">
        <v>66</v>
      </c>
      <c r="GX62" s="7">
        <v>65</v>
      </c>
      <c r="GY62" s="7">
        <v>1070</v>
      </c>
      <c r="GZ62" s="7">
        <v>1198</v>
      </c>
      <c r="HA62" s="7">
        <v>1126</v>
      </c>
      <c r="HB62" s="7">
        <v>1102</v>
      </c>
      <c r="HC62" s="7">
        <v>906</v>
      </c>
      <c r="HD62" s="7">
        <v>865</v>
      </c>
      <c r="HE62" s="7">
        <v>735</v>
      </c>
      <c r="HF62" s="7">
        <v>704</v>
      </c>
      <c r="HG62" s="7">
        <v>541</v>
      </c>
      <c r="HH62" s="7">
        <v>478</v>
      </c>
      <c r="HI62" s="7">
        <v>375</v>
      </c>
      <c r="HJ62" s="7">
        <v>317</v>
      </c>
      <c r="HK62" s="7">
        <v>224</v>
      </c>
      <c r="HL62" s="7">
        <v>184</v>
      </c>
      <c r="HM62" s="7">
        <v>200</v>
      </c>
      <c r="HN62" s="7">
        <v>118</v>
      </c>
      <c r="HO62" s="7">
        <v>58</v>
      </c>
      <c r="HP62" s="7">
        <v>73</v>
      </c>
      <c r="HQ62" s="7">
        <v>5880</v>
      </c>
      <c r="HR62" s="7">
        <v>0</v>
      </c>
      <c r="HS62" s="7">
        <v>0</v>
      </c>
      <c r="HT62" s="7">
        <v>2</v>
      </c>
      <c r="HU62" s="7">
        <v>0</v>
      </c>
      <c r="HV62" s="7">
        <v>0</v>
      </c>
      <c r="HW62" s="7">
        <v>0</v>
      </c>
      <c r="HX62" s="7">
        <v>69</v>
      </c>
      <c r="HY62" s="7">
        <v>372</v>
      </c>
      <c r="HZ62" s="7">
        <v>737</v>
      </c>
      <c r="IA62" s="7">
        <v>1026</v>
      </c>
      <c r="IB62" s="7">
        <v>1299</v>
      </c>
      <c r="IC62" s="7">
        <v>1110</v>
      </c>
      <c r="ID62" s="7">
        <v>652</v>
      </c>
      <c r="IE62" s="7">
        <v>319</v>
      </c>
      <c r="IF62" s="7">
        <v>180</v>
      </c>
      <c r="IG62" s="7">
        <v>209</v>
      </c>
      <c r="IH62" s="7">
        <v>583</v>
      </c>
      <c r="II62" s="7">
        <v>1922</v>
      </c>
      <c r="IJ62" s="7">
        <v>1437</v>
      </c>
      <c r="IK62" s="7">
        <v>1082</v>
      </c>
      <c r="IL62" s="7">
        <v>505</v>
      </c>
      <c r="IM62" s="7">
        <v>201</v>
      </c>
      <c r="IN62" s="7">
        <v>70</v>
      </c>
      <c r="IO62" s="7">
        <v>36</v>
      </c>
      <c r="IP62" s="7">
        <v>20</v>
      </c>
      <c r="IQ62" s="7">
        <v>3323</v>
      </c>
      <c r="IR62" s="7">
        <v>1755</v>
      </c>
      <c r="IS62" s="7">
        <v>611</v>
      </c>
      <c r="IT62" s="7">
        <v>140</v>
      </c>
      <c r="IU62" s="7">
        <v>32</v>
      </c>
      <c r="IV62" s="7">
        <v>2047</v>
      </c>
      <c r="IW62" s="7">
        <v>1600</v>
      </c>
      <c r="IX62" s="7">
        <v>315</v>
      </c>
      <c r="IY62" s="7">
        <v>173</v>
      </c>
      <c r="IZ62" s="7">
        <v>172</v>
      </c>
      <c r="JA62" s="7">
        <v>1553</v>
      </c>
      <c r="JB62" s="7">
        <v>4066</v>
      </c>
      <c r="JC62" s="7">
        <v>1164</v>
      </c>
      <c r="JD62" s="7">
        <v>9</v>
      </c>
      <c r="JE62" s="7">
        <v>5</v>
      </c>
      <c r="JF62" s="151">
        <v>5464.9612062400229</v>
      </c>
      <c r="JG62" s="151">
        <v>407.1804209236322</v>
      </c>
      <c r="JH62" s="7">
        <v>1142</v>
      </c>
      <c r="JI62" s="7">
        <v>3866</v>
      </c>
      <c r="JJ62" s="7">
        <v>835</v>
      </c>
      <c r="JK62" s="7">
        <v>61</v>
      </c>
      <c r="JL62" s="7">
        <v>2640</v>
      </c>
      <c r="JM62" s="7">
        <v>1938</v>
      </c>
      <c r="JN62" s="7">
        <v>954</v>
      </c>
      <c r="JO62" s="7">
        <v>3998</v>
      </c>
      <c r="JP62" s="7">
        <v>4745</v>
      </c>
      <c r="JQ62" s="7">
        <v>348</v>
      </c>
      <c r="JR62" s="7">
        <v>571</v>
      </c>
      <c r="JS62" s="7">
        <v>1837</v>
      </c>
      <c r="JT62" s="7">
        <v>161</v>
      </c>
      <c r="JU62" s="151">
        <v>892.02975137809995</v>
      </c>
      <c r="JV62" s="151">
        <v>4338.2969347523031</v>
      </c>
      <c r="JW62" s="151">
        <v>203.47393963916514</v>
      </c>
      <c r="JX62" s="151">
        <v>31.160580470455002</v>
      </c>
      <c r="JY62" s="7">
        <v>5618</v>
      </c>
      <c r="JZ62" s="7">
        <v>25309</v>
      </c>
      <c r="KA62" s="7">
        <v>0</v>
      </c>
      <c r="KB62" s="7">
        <v>0</v>
      </c>
      <c r="KC62" s="7">
        <v>14</v>
      </c>
      <c r="KD62" s="7">
        <v>0</v>
      </c>
      <c r="KE62" s="7">
        <v>0</v>
      </c>
      <c r="KF62" s="7">
        <v>0</v>
      </c>
      <c r="KG62" s="7">
        <v>207</v>
      </c>
      <c r="KH62" s="7">
        <v>4819</v>
      </c>
      <c r="KI62" s="7">
        <v>17049</v>
      </c>
      <c r="KJ62" s="7">
        <v>3252</v>
      </c>
      <c r="KK62" s="7">
        <v>269</v>
      </c>
      <c r="KL62" s="7">
        <v>3836</v>
      </c>
      <c r="KM62" s="7">
        <v>18656</v>
      </c>
      <c r="KN62" s="7">
        <v>875</v>
      </c>
      <c r="KO62" s="7">
        <v>134</v>
      </c>
      <c r="KP62" s="7">
        <v>23501</v>
      </c>
      <c r="KQ62" s="7">
        <v>1751</v>
      </c>
      <c r="KR62" s="7">
        <v>3400</v>
      </c>
      <c r="KS62" s="7">
        <v>3400</v>
      </c>
      <c r="KT62" s="7">
        <v>713</v>
      </c>
      <c r="KU62" s="7">
        <v>163</v>
      </c>
      <c r="KV62" s="7">
        <v>415</v>
      </c>
      <c r="KW62" s="7">
        <v>0</v>
      </c>
      <c r="KX62" s="7">
        <v>662</v>
      </c>
      <c r="KY62" s="7">
        <v>179</v>
      </c>
      <c r="KZ62" s="7">
        <v>412</v>
      </c>
      <c r="LA62" s="7">
        <v>0</v>
      </c>
      <c r="LB62" s="7">
        <v>2089</v>
      </c>
      <c r="LC62" s="7">
        <v>2104</v>
      </c>
      <c r="LD62" s="7">
        <v>2048</v>
      </c>
      <c r="LE62" s="7">
        <v>2594</v>
      </c>
      <c r="LF62" s="7">
        <v>16654</v>
      </c>
      <c r="LG62" s="7">
        <v>34</v>
      </c>
      <c r="LH62" s="7">
        <v>3667</v>
      </c>
      <c r="LI62" s="7">
        <v>334</v>
      </c>
      <c r="LJ62" s="7">
        <v>809</v>
      </c>
      <c r="LK62" s="7">
        <v>3</v>
      </c>
      <c r="LL62" s="7">
        <v>631</v>
      </c>
      <c r="LM62" s="7">
        <v>489</v>
      </c>
      <c r="LN62" s="7">
        <v>30</v>
      </c>
      <c r="LO62" s="7">
        <v>3812</v>
      </c>
      <c r="LP62" s="7">
        <v>305</v>
      </c>
      <c r="LQ62" s="7">
        <v>846</v>
      </c>
      <c r="LR62" s="7">
        <v>5</v>
      </c>
      <c r="LS62" s="7">
        <v>566</v>
      </c>
      <c r="LT62" s="7">
        <v>307</v>
      </c>
      <c r="LU62" s="232">
        <v>4.6295870866</v>
      </c>
      <c r="LV62" s="232">
        <v>4.9077609720000002</v>
      </c>
      <c r="LW62" s="232">
        <v>4.3648377581000002</v>
      </c>
      <c r="LX62" s="7">
        <v>5904</v>
      </c>
      <c r="LY62" s="7">
        <v>25389</v>
      </c>
    </row>
    <row r="63" spans="1:337" x14ac:dyDescent="0.25">
      <c r="A63" t="s">
        <v>138</v>
      </c>
      <c r="B63" t="s">
        <v>139</v>
      </c>
      <c r="C63" s="7">
        <v>39055</v>
      </c>
      <c r="D63">
        <v>43913</v>
      </c>
      <c r="F63">
        <f t="shared" si="2"/>
        <v>-43913</v>
      </c>
      <c r="G63">
        <f t="shared" si="3"/>
        <v>-100</v>
      </c>
      <c r="H63">
        <v>21680</v>
      </c>
      <c r="I63">
        <v>22233</v>
      </c>
      <c r="J63">
        <v>17931</v>
      </c>
      <c r="K63">
        <v>25982</v>
      </c>
      <c r="L63" s="7">
        <v>2299</v>
      </c>
      <c r="M63" s="7">
        <v>2396</v>
      </c>
      <c r="N63" s="7">
        <v>2698</v>
      </c>
      <c r="O63" s="7">
        <v>2683</v>
      </c>
      <c r="P63" s="7">
        <v>1760</v>
      </c>
      <c r="Q63" s="7">
        <v>1327</v>
      </c>
      <c r="R63" s="7">
        <v>1386</v>
      </c>
      <c r="S63" s="7">
        <v>1285</v>
      </c>
      <c r="T63" s="7">
        <v>1088</v>
      </c>
      <c r="U63" s="7">
        <v>1023</v>
      </c>
      <c r="V63" s="7">
        <v>896</v>
      </c>
      <c r="W63" s="7">
        <v>714</v>
      </c>
      <c r="X63" s="7">
        <v>626</v>
      </c>
      <c r="Y63" s="7">
        <v>1455</v>
      </c>
      <c r="Z63" s="7">
        <v>44</v>
      </c>
      <c r="AA63" s="7">
        <v>2221</v>
      </c>
      <c r="AB63" s="7">
        <v>2309</v>
      </c>
      <c r="AC63" s="7">
        <v>2561</v>
      </c>
      <c r="AD63" s="7">
        <v>2696</v>
      </c>
      <c r="AE63" s="7">
        <v>1889</v>
      </c>
      <c r="AF63" s="7">
        <v>1598</v>
      </c>
      <c r="AG63" s="7">
        <v>1596</v>
      </c>
      <c r="AH63" s="7">
        <v>1445</v>
      </c>
      <c r="AI63" s="7">
        <v>1260</v>
      </c>
      <c r="AJ63" s="7">
        <v>1063</v>
      </c>
      <c r="AK63" s="7">
        <v>923</v>
      </c>
      <c r="AL63" s="7">
        <v>731</v>
      </c>
      <c r="AM63" s="7">
        <v>574</v>
      </c>
      <c r="AN63" s="7">
        <v>1324</v>
      </c>
      <c r="AO63" s="7">
        <v>43</v>
      </c>
      <c r="AP63">
        <v>41965</v>
      </c>
      <c r="AQ63">
        <v>1469</v>
      </c>
      <c r="AR63">
        <v>121</v>
      </c>
      <c r="AS63">
        <v>154</v>
      </c>
      <c r="AT63">
        <v>204</v>
      </c>
      <c r="AU63" s="7">
        <v>132</v>
      </c>
      <c r="AV63" s="7">
        <v>86</v>
      </c>
      <c r="AW63" s="7">
        <v>46</v>
      </c>
      <c r="AX63" s="7">
        <v>199</v>
      </c>
      <c r="AY63" s="7">
        <v>132</v>
      </c>
      <c r="AZ63" s="7">
        <v>89</v>
      </c>
      <c r="BA63" s="7">
        <v>43</v>
      </c>
      <c r="BB63" s="7">
        <v>1</v>
      </c>
      <c r="BC63" s="7">
        <v>0</v>
      </c>
      <c r="BD63" s="7">
        <v>1</v>
      </c>
      <c r="BE63" s="7">
        <v>4</v>
      </c>
      <c r="BF63" s="7">
        <v>3</v>
      </c>
      <c r="BG63" s="7">
        <v>0</v>
      </c>
      <c r="BH63" s="7">
        <v>2</v>
      </c>
      <c r="BI63" s="7">
        <v>2</v>
      </c>
      <c r="BJ63" s="7">
        <v>6</v>
      </c>
      <c r="BK63" s="7">
        <v>3</v>
      </c>
      <c r="BL63" s="7">
        <v>3</v>
      </c>
      <c r="BM63" s="7">
        <v>2</v>
      </c>
      <c r="BN63" s="7">
        <v>9</v>
      </c>
      <c r="BO63" s="7">
        <v>3</v>
      </c>
      <c r="BP63" s="7">
        <v>8</v>
      </c>
      <c r="BQ63" s="7">
        <v>4</v>
      </c>
      <c r="BR63" s="7">
        <v>4</v>
      </c>
      <c r="BS63" s="7">
        <v>4</v>
      </c>
      <c r="BT63" s="7">
        <v>6</v>
      </c>
      <c r="BU63" s="7">
        <v>1</v>
      </c>
      <c r="BV63" s="7">
        <v>8</v>
      </c>
      <c r="BW63" s="7">
        <v>4</v>
      </c>
      <c r="BX63" s="7">
        <v>8</v>
      </c>
      <c r="BY63" s="7">
        <v>4</v>
      </c>
      <c r="BZ63" s="7">
        <v>10</v>
      </c>
      <c r="CA63" s="7">
        <v>4</v>
      </c>
      <c r="CB63" s="7">
        <v>17</v>
      </c>
      <c r="CC63" s="7">
        <v>11</v>
      </c>
      <c r="CD63" s="7">
        <v>57</v>
      </c>
      <c r="CE63" s="7">
        <v>31</v>
      </c>
      <c r="CF63" s="7">
        <v>0</v>
      </c>
      <c r="CG63" s="7">
        <v>0</v>
      </c>
      <c r="CH63" s="7">
        <v>8168</v>
      </c>
      <c r="CI63" s="7">
        <v>2672</v>
      </c>
      <c r="CJ63" s="7">
        <v>34693</v>
      </c>
      <c r="CK63" s="7">
        <v>9142</v>
      </c>
      <c r="CL63" s="7">
        <v>990</v>
      </c>
      <c r="CM63" s="7">
        <v>1601</v>
      </c>
      <c r="CN63" s="7">
        <v>1961</v>
      </c>
      <c r="CO63" s="7">
        <v>2288</v>
      </c>
      <c r="CP63" s="7">
        <v>1893</v>
      </c>
      <c r="CQ63" s="7">
        <v>2107</v>
      </c>
      <c r="CR63" s="7">
        <v>7517</v>
      </c>
      <c r="CS63" s="7">
        <v>18985</v>
      </c>
      <c r="CT63" s="7">
        <v>3519</v>
      </c>
      <c r="CU63" s="7">
        <v>865</v>
      </c>
      <c r="CV63" s="7">
        <v>379</v>
      </c>
      <c r="CW63" s="7">
        <v>1385</v>
      </c>
      <c r="CX63" s="7">
        <v>219</v>
      </c>
      <c r="CY63" s="7">
        <v>25841</v>
      </c>
      <c r="CZ63" s="7">
        <v>15672</v>
      </c>
      <c r="DA63" s="7">
        <v>614</v>
      </c>
      <c r="DB63" s="7">
        <v>990</v>
      </c>
      <c r="DC63" s="7">
        <v>87</v>
      </c>
      <c r="DD63" s="7">
        <v>8609</v>
      </c>
      <c r="DE63" s="7">
        <v>7434</v>
      </c>
      <c r="DF63" s="7">
        <v>9939</v>
      </c>
      <c r="DG63" s="7">
        <v>0</v>
      </c>
      <c r="DH63" s="7">
        <v>0</v>
      </c>
      <c r="DI63" s="7">
        <v>17931</v>
      </c>
      <c r="DJ63" s="7">
        <v>0</v>
      </c>
      <c r="DK63" s="7">
        <v>0</v>
      </c>
      <c r="DL63" s="7">
        <v>522</v>
      </c>
      <c r="DM63" s="7">
        <v>20</v>
      </c>
      <c r="DN63" s="7">
        <v>11</v>
      </c>
      <c r="DO63" s="7">
        <v>0</v>
      </c>
      <c r="DP63" s="7">
        <v>0</v>
      </c>
      <c r="DQ63" s="7">
        <v>1</v>
      </c>
      <c r="DR63" s="7">
        <v>0</v>
      </c>
      <c r="DS63" s="7">
        <v>0</v>
      </c>
      <c r="DT63" s="7">
        <v>339</v>
      </c>
      <c r="DU63" s="7">
        <v>323</v>
      </c>
      <c r="DV63" s="7">
        <v>244</v>
      </c>
      <c r="DW63" s="7">
        <v>246</v>
      </c>
      <c r="DX63" s="7">
        <v>84</v>
      </c>
      <c r="DY63" s="7">
        <v>54</v>
      </c>
      <c r="DZ63" s="7">
        <v>98</v>
      </c>
      <c r="EA63" s="7">
        <v>80</v>
      </c>
      <c r="EB63" s="7">
        <v>30</v>
      </c>
      <c r="EC63" s="7">
        <v>22</v>
      </c>
      <c r="ED63" s="7">
        <v>31</v>
      </c>
      <c r="EE63" s="7">
        <v>17</v>
      </c>
      <c r="EF63" s="7">
        <v>84</v>
      </c>
      <c r="EG63" s="7">
        <v>74</v>
      </c>
      <c r="EH63" s="7">
        <v>387</v>
      </c>
      <c r="EI63" s="7">
        <v>294</v>
      </c>
      <c r="EJ63" s="7">
        <v>78</v>
      </c>
      <c r="EK63" s="7">
        <v>93</v>
      </c>
      <c r="EL63" s="7">
        <v>28</v>
      </c>
      <c r="EM63" s="7">
        <v>31</v>
      </c>
      <c r="EN63" s="7">
        <v>80</v>
      </c>
      <c r="EO63" s="7">
        <v>12096</v>
      </c>
      <c r="EP63" s="7">
        <v>11795</v>
      </c>
      <c r="EQ63" s="7">
        <v>301</v>
      </c>
      <c r="ER63" s="7">
        <v>3641</v>
      </c>
      <c r="ES63" s="7">
        <v>3346</v>
      </c>
      <c r="ET63" s="7">
        <v>3255</v>
      </c>
      <c r="EU63" s="7">
        <v>91</v>
      </c>
      <c r="EV63" s="7">
        <v>13235</v>
      </c>
      <c r="EW63" s="134">
        <v>45.514133551999997</v>
      </c>
      <c r="EX63" s="134">
        <v>12.884063908</v>
      </c>
      <c r="EY63" s="134">
        <v>15.123583231</v>
      </c>
      <c r="EZ63" s="134">
        <v>26.416769083999998</v>
      </c>
      <c r="FA63" s="134">
        <v>6.1450225300000001E-2</v>
      </c>
      <c r="FB63" s="7">
        <v>2083</v>
      </c>
      <c r="FC63" s="7">
        <v>6828</v>
      </c>
      <c r="FD63" s="7">
        <v>738</v>
      </c>
      <c r="FE63" s="7">
        <v>2717</v>
      </c>
      <c r="FF63" s="7">
        <v>15</v>
      </c>
      <c r="FG63" s="7">
        <v>1951</v>
      </c>
      <c r="FH63" s="7">
        <v>1069</v>
      </c>
      <c r="FI63" s="134">
        <v>29.475624744000001</v>
      </c>
      <c r="FJ63" s="134">
        <v>41.827120033</v>
      </c>
      <c r="FK63" s="134">
        <v>26.416769083999998</v>
      </c>
      <c r="FL63" s="134">
        <v>2.2804861395999998</v>
      </c>
      <c r="FM63" s="151">
        <v>11575</v>
      </c>
      <c r="FN63" s="151">
        <v>10003</v>
      </c>
      <c r="FO63" s="7">
        <v>4428</v>
      </c>
      <c r="FP63" s="7">
        <v>486</v>
      </c>
      <c r="FQ63" s="7">
        <v>106</v>
      </c>
      <c r="FR63" s="7">
        <v>19</v>
      </c>
      <c r="FS63" s="7">
        <v>6483</v>
      </c>
      <c r="FT63" s="7">
        <v>51</v>
      </c>
      <c r="FU63" s="7">
        <v>177</v>
      </c>
      <c r="FV63" s="7">
        <v>102</v>
      </c>
      <c r="FW63" s="7">
        <v>12836</v>
      </c>
      <c r="FX63" s="7">
        <v>9294</v>
      </c>
      <c r="FY63" s="7">
        <v>4915</v>
      </c>
      <c r="FZ63" s="7">
        <v>548</v>
      </c>
      <c r="GA63" s="7">
        <v>147</v>
      </c>
      <c r="GB63" s="7">
        <v>23</v>
      </c>
      <c r="GC63" s="7">
        <v>7180</v>
      </c>
      <c r="GD63" s="7">
        <v>45</v>
      </c>
      <c r="GE63" s="7">
        <v>162</v>
      </c>
      <c r="GF63" s="7">
        <v>103</v>
      </c>
      <c r="GG63" s="7">
        <v>1233</v>
      </c>
      <c r="GH63" s="7">
        <v>1325</v>
      </c>
      <c r="GI63" s="7">
        <v>1554</v>
      </c>
      <c r="GJ63" s="7">
        <v>1466</v>
      </c>
      <c r="GK63" s="7">
        <v>793</v>
      </c>
      <c r="GL63" s="7">
        <v>625</v>
      </c>
      <c r="GM63" s="7">
        <v>698</v>
      </c>
      <c r="GN63" s="7">
        <v>668</v>
      </c>
      <c r="GO63" s="7">
        <v>602</v>
      </c>
      <c r="GP63" s="7">
        <v>575</v>
      </c>
      <c r="GQ63" s="7">
        <v>499</v>
      </c>
      <c r="GR63" s="7">
        <v>379</v>
      </c>
      <c r="GS63" s="7">
        <v>326</v>
      </c>
      <c r="GT63" s="7">
        <v>258</v>
      </c>
      <c r="GU63" s="7">
        <v>279</v>
      </c>
      <c r="GV63" s="7">
        <v>151</v>
      </c>
      <c r="GW63" s="7">
        <v>72</v>
      </c>
      <c r="GX63" s="7">
        <v>71</v>
      </c>
      <c r="GY63" s="7">
        <v>1172</v>
      </c>
      <c r="GZ63" s="7">
        <v>1333</v>
      </c>
      <c r="HA63" s="7">
        <v>1504</v>
      </c>
      <c r="HB63" s="7">
        <v>1516</v>
      </c>
      <c r="HC63" s="7">
        <v>1012</v>
      </c>
      <c r="HD63" s="7">
        <v>881</v>
      </c>
      <c r="HE63" s="7">
        <v>936</v>
      </c>
      <c r="HF63" s="7">
        <v>890</v>
      </c>
      <c r="HG63" s="7">
        <v>761</v>
      </c>
      <c r="HH63" s="7">
        <v>668</v>
      </c>
      <c r="HI63" s="7">
        <v>539</v>
      </c>
      <c r="HJ63" s="7">
        <v>452</v>
      </c>
      <c r="HK63" s="7">
        <v>375</v>
      </c>
      <c r="HL63" s="7">
        <v>288</v>
      </c>
      <c r="HM63" s="7">
        <v>211</v>
      </c>
      <c r="HN63" s="7">
        <v>137</v>
      </c>
      <c r="HO63" s="7">
        <v>82</v>
      </c>
      <c r="HP63" s="7">
        <v>75</v>
      </c>
      <c r="HQ63" s="7">
        <v>10772</v>
      </c>
      <c r="HR63" s="7">
        <v>2</v>
      </c>
      <c r="HS63" s="7">
        <v>32</v>
      </c>
      <c r="HT63" s="7">
        <v>3</v>
      </c>
      <c r="HU63" s="7">
        <v>1</v>
      </c>
      <c r="HV63" s="7">
        <v>1</v>
      </c>
      <c r="HW63" s="7">
        <v>0</v>
      </c>
      <c r="HX63" s="7">
        <v>54</v>
      </c>
      <c r="HY63" s="7">
        <v>990</v>
      </c>
      <c r="HZ63" s="7">
        <v>1601</v>
      </c>
      <c r="IA63" s="7">
        <v>1959</v>
      </c>
      <c r="IB63" s="7">
        <v>2288</v>
      </c>
      <c r="IC63" s="7">
        <v>1893</v>
      </c>
      <c r="ID63" s="7">
        <v>982</v>
      </c>
      <c r="IE63" s="7">
        <v>518</v>
      </c>
      <c r="IF63" s="7">
        <v>263</v>
      </c>
      <c r="IG63" s="7">
        <v>344</v>
      </c>
      <c r="IH63" s="7">
        <v>1674</v>
      </c>
      <c r="II63" s="7">
        <v>3187</v>
      </c>
      <c r="IJ63" s="7">
        <v>3002</v>
      </c>
      <c r="IK63" s="7">
        <v>1848</v>
      </c>
      <c r="IL63" s="7">
        <v>740</v>
      </c>
      <c r="IM63" s="7">
        <v>228</v>
      </c>
      <c r="IN63" s="7">
        <v>67</v>
      </c>
      <c r="IO63" s="7">
        <v>26</v>
      </c>
      <c r="IP63" s="7">
        <v>15</v>
      </c>
      <c r="IQ63" s="7">
        <v>5146</v>
      </c>
      <c r="IR63" s="7">
        <v>4082</v>
      </c>
      <c r="IS63" s="7">
        <v>1278</v>
      </c>
      <c r="IT63" s="7">
        <v>248</v>
      </c>
      <c r="IU63" s="7">
        <v>43</v>
      </c>
      <c r="IV63" s="7">
        <v>4184</v>
      </c>
      <c r="IW63" s="7">
        <v>2410</v>
      </c>
      <c r="IX63" s="7">
        <v>390</v>
      </c>
      <c r="IY63" s="7">
        <v>110</v>
      </c>
      <c r="IZ63" s="7">
        <v>9</v>
      </c>
      <c r="JA63" s="7">
        <v>3667</v>
      </c>
      <c r="JB63" s="7">
        <v>5092</v>
      </c>
      <c r="JC63" s="7">
        <v>5035</v>
      </c>
      <c r="JD63" s="7">
        <v>31</v>
      </c>
      <c r="JE63" s="7">
        <v>5</v>
      </c>
      <c r="JF63" s="151">
        <v>10343.687489474678</v>
      </c>
      <c r="JG63" s="151">
        <v>458.72478466518902</v>
      </c>
      <c r="JH63" s="7">
        <v>1457</v>
      </c>
      <c r="JI63" s="7">
        <v>8948</v>
      </c>
      <c r="JJ63" s="7">
        <v>386</v>
      </c>
      <c r="JK63" s="7">
        <v>47</v>
      </c>
      <c r="JL63" s="7">
        <v>8046</v>
      </c>
      <c r="JM63" s="7">
        <v>5128</v>
      </c>
      <c r="JN63" s="7">
        <v>2010</v>
      </c>
      <c r="JO63" s="7">
        <v>7757</v>
      </c>
      <c r="JP63" s="7">
        <v>8821</v>
      </c>
      <c r="JQ63" s="7">
        <v>714</v>
      </c>
      <c r="JR63" s="7">
        <v>1650</v>
      </c>
      <c r="JS63" s="7">
        <v>4743</v>
      </c>
      <c r="JT63" s="7">
        <v>351</v>
      </c>
      <c r="JU63" s="151">
        <v>981.0033535131023</v>
      </c>
      <c r="JV63" s="151">
        <v>9109.2108721977911</v>
      </c>
      <c r="JW63" s="151">
        <v>232.7008206846053</v>
      </c>
      <c r="JX63" s="151">
        <v>20.77244307917837</v>
      </c>
      <c r="JY63" s="7">
        <v>10417</v>
      </c>
      <c r="JZ63" s="7">
        <v>43626</v>
      </c>
      <c r="KA63" s="7">
        <v>4</v>
      </c>
      <c r="KB63" s="7">
        <v>86</v>
      </c>
      <c r="KC63" s="7">
        <v>13</v>
      </c>
      <c r="KD63" s="7">
        <v>3</v>
      </c>
      <c r="KE63" s="7">
        <v>3</v>
      </c>
      <c r="KF63" s="7">
        <v>0</v>
      </c>
      <c r="KG63" s="7">
        <v>175</v>
      </c>
      <c r="KH63" s="7">
        <v>6337</v>
      </c>
      <c r="KI63" s="7">
        <v>35831</v>
      </c>
      <c r="KJ63" s="7">
        <v>1440</v>
      </c>
      <c r="KK63" s="7">
        <v>221</v>
      </c>
      <c r="KL63" s="7">
        <v>3967</v>
      </c>
      <c r="KM63" s="7">
        <v>36836</v>
      </c>
      <c r="KN63" s="7">
        <v>941</v>
      </c>
      <c r="KO63" s="7">
        <v>84</v>
      </c>
      <c r="KP63" s="7">
        <v>41828</v>
      </c>
      <c r="KQ63" s="7">
        <v>1855</v>
      </c>
      <c r="KR63" s="7">
        <v>6569</v>
      </c>
      <c r="KS63" s="7">
        <v>6569</v>
      </c>
      <c r="KT63" s="7">
        <v>1183</v>
      </c>
      <c r="KU63" s="7">
        <v>469</v>
      </c>
      <c r="KV63" s="7">
        <v>1239</v>
      </c>
      <c r="KW63" s="7">
        <v>0</v>
      </c>
      <c r="KX63" s="7">
        <v>1198</v>
      </c>
      <c r="KY63" s="7">
        <v>474</v>
      </c>
      <c r="KZ63" s="7">
        <v>1212</v>
      </c>
      <c r="LA63" s="7">
        <v>2</v>
      </c>
      <c r="LB63" s="7">
        <v>3897</v>
      </c>
      <c r="LC63" s="7">
        <v>3790</v>
      </c>
      <c r="LD63" s="7">
        <v>1875</v>
      </c>
      <c r="LE63" s="7">
        <v>2847</v>
      </c>
      <c r="LF63" s="7">
        <v>29342</v>
      </c>
      <c r="LG63" s="7">
        <v>54</v>
      </c>
      <c r="LH63" s="7">
        <v>5960</v>
      </c>
      <c r="LI63" s="7">
        <v>963</v>
      </c>
      <c r="LJ63" s="7">
        <v>2447</v>
      </c>
      <c r="LK63" s="7">
        <v>5</v>
      </c>
      <c r="LL63" s="7">
        <v>2008</v>
      </c>
      <c r="LM63" s="7">
        <v>778</v>
      </c>
      <c r="LN63" s="7">
        <v>63</v>
      </c>
      <c r="LO63" s="7">
        <v>6310</v>
      </c>
      <c r="LP63" s="7">
        <v>927</v>
      </c>
      <c r="LQ63" s="7">
        <v>2357</v>
      </c>
      <c r="LR63" s="7">
        <v>24</v>
      </c>
      <c r="LS63" s="7">
        <v>1938</v>
      </c>
      <c r="LT63" s="7">
        <v>722</v>
      </c>
      <c r="LU63" s="232">
        <v>6.0256902102999996</v>
      </c>
      <c r="LV63" s="232">
        <v>6.2533709848000001</v>
      </c>
      <c r="LW63" s="232">
        <v>5.8110985427999999</v>
      </c>
      <c r="LX63" s="7">
        <v>10838</v>
      </c>
      <c r="LY63" s="7">
        <v>43829</v>
      </c>
    </row>
    <row r="64" spans="1:337" x14ac:dyDescent="0.25">
      <c r="A64" t="s">
        <v>264</v>
      </c>
      <c r="B64" t="s">
        <v>265</v>
      </c>
      <c r="C64" s="7">
        <v>11147</v>
      </c>
      <c r="D64">
        <v>11451</v>
      </c>
      <c r="F64">
        <f t="shared" si="2"/>
        <v>-11451</v>
      </c>
      <c r="G64">
        <f t="shared" si="3"/>
        <v>-100</v>
      </c>
      <c r="H64">
        <v>5835</v>
      </c>
      <c r="I64">
        <v>5616</v>
      </c>
      <c r="J64">
        <v>0</v>
      </c>
      <c r="K64">
        <v>11451</v>
      </c>
      <c r="L64" s="7">
        <v>737</v>
      </c>
      <c r="M64" s="7">
        <v>850</v>
      </c>
      <c r="N64" s="7">
        <v>918</v>
      </c>
      <c r="O64" s="7">
        <v>767</v>
      </c>
      <c r="P64" s="7">
        <v>523</v>
      </c>
      <c r="Q64" s="7">
        <v>377</v>
      </c>
      <c r="R64" s="7">
        <v>361</v>
      </c>
      <c r="S64" s="7">
        <v>285</v>
      </c>
      <c r="T64" s="7">
        <v>230</v>
      </c>
      <c r="U64" s="7">
        <v>191</v>
      </c>
      <c r="V64" s="7">
        <v>155</v>
      </c>
      <c r="W64" s="7">
        <v>116</v>
      </c>
      <c r="X64" s="7">
        <v>114</v>
      </c>
      <c r="Y64" s="7">
        <v>190</v>
      </c>
      <c r="Z64" s="7">
        <v>21</v>
      </c>
      <c r="AA64" s="7">
        <v>738</v>
      </c>
      <c r="AB64" s="7">
        <v>798</v>
      </c>
      <c r="AC64" s="7">
        <v>836</v>
      </c>
      <c r="AD64" s="7">
        <v>722</v>
      </c>
      <c r="AE64" s="7">
        <v>543</v>
      </c>
      <c r="AF64" s="7">
        <v>415</v>
      </c>
      <c r="AG64" s="7">
        <v>364</v>
      </c>
      <c r="AH64" s="7">
        <v>294</v>
      </c>
      <c r="AI64" s="7">
        <v>202</v>
      </c>
      <c r="AJ64" s="7">
        <v>193</v>
      </c>
      <c r="AK64" s="7">
        <v>134</v>
      </c>
      <c r="AL64" s="7">
        <v>104</v>
      </c>
      <c r="AM64" s="7">
        <v>91</v>
      </c>
      <c r="AN64" s="7">
        <v>161</v>
      </c>
      <c r="AO64" s="7">
        <v>21</v>
      </c>
      <c r="AP64">
        <v>11010</v>
      </c>
      <c r="AQ64">
        <v>165</v>
      </c>
      <c r="AR64">
        <v>6</v>
      </c>
      <c r="AS64">
        <v>222</v>
      </c>
      <c r="AT64">
        <v>48</v>
      </c>
      <c r="AU64" s="7">
        <v>4501</v>
      </c>
      <c r="AV64" s="7">
        <v>2238</v>
      </c>
      <c r="AW64" s="7">
        <v>2263</v>
      </c>
      <c r="AX64" s="7">
        <v>3651</v>
      </c>
      <c r="AY64" s="7">
        <v>4501</v>
      </c>
      <c r="AZ64" s="7">
        <v>4501</v>
      </c>
      <c r="BA64" s="7">
        <v>0</v>
      </c>
      <c r="BB64" s="7">
        <v>93</v>
      </c>
      <c r="BC64" s="7">
        <v>133</v>
      </c>
      <c r="BD64" s="7">
        <v>330</v>
      </c>
      <c r="BE64" s="7">
        <v>337</v>
      </c>
      <c r="BF64" s="7">
        <v>394</v>
      </c>
      <c r="BG64" s="7">
        <v>338</v>
      </c>
      <c r="BH64" s="7">
        <v>312</v>
      </c>
      <c r="BI64" s="7">
        <v>305</v>
      </c>
      <c r="BJ64" s="7">
        <v>215</v>
      </c>
      <c r="BK64" s="7">
        <v>247</v>
      </c>
      <c r="BL64" s="7">
        <v>161</v>
      </c>
      <c r="BM64" s="7">
        <v>187</v>
      </c>
      <c r="BN64" s="7">
        <v>158</v>
      </c>
      <c r="BO64" s="7">
        <v>170</v>
      </c>
      <c r="BP64" s="7">
        <v>112</v>
      </c>
      <c r="BQ64" s="7">
        <v>129</v>
      </c>
      <c r="BR64" s="7">
        <v>106</v>
      </c>
      <c r="BS64" s="7">
        <v>86</v>
      </c>
      <c r="BT64" s="7">
        <v>79</v>
      </c>
      <c r="BU64" s="7">
        <v>93</v>
      </c>
      <c r="BV64" s="7">
        <v>72</v>
      </c>
      <c r="BW64" s="7">
        <v>64</v>
      </c>
      <c r="BX64" s="7">
        <v>64</v>
      </c>
      <c r="BY64" s="7">
        <v>57</v>
      </c>
      <c r="BZ64" s="7">
        <v>52</v>
      </c>
      <c r="CA64" s="7">
        <v>45</v>
      </c>
      <c r="CB64" s="7">
        <v>90</v>
      </c>
      <c r="CC64" s="7">
        <v>72</v>
      </c>
      <c r="CD64" s="7">
        <v>2061</v>
      </c>
      <c r="CE64" s="7">
        <v>1893</v>
      </c>
      <c r="CF64" s="7">
        <v>156</v>
      </c>
      <c r="CG64" s="7">
        <v>346</v>
      </c>
      <c r="CH64" s="7">
        <v>1808</v>
      </c>
      <c r="CI64" s="7">
        <v>184</v>
      </c>
      <c r="CJ64" s="7">
        <v>10555</v>
      </c>
      <c r="CK64" s="7">
        <v>857</v>
      </c>
      <c r="CL64" s="7">
        <v>31</v>
      </c>
      <c r="CM64" s="7">
        <v>116</v>
      </c>
      <c r="CN64" s="7">
        <v>223</v>
      </c>
      <c r="CO64" s="7">
        <v>321</v>
      </c>
      <c r="CP64" s="7">
        <v>343</v>
      </c>
      <c r="CQ64" s="7">
        <v>958</v>
      </c>
      <c r="CR64" s="7">
        <v>1765</v>
      </c>
      <c r="CS64" s="7">
        <v>6192</v>
      </c>
      <c r="CT64" s="7">
        <v>757</v>
      </c>
      <c r="CU64" s="7">
        <v>293</v>
      </c>
      <c r="CV64" s="7">
        <v>117</v>
      </c>
      <c r="CW64" s="7">
        <v>240</v>
      </c>
      <c r="CX64" s="7">
        <v>12</v>
      </c>
      <c r="CY64" s="7">
        <v>6886</v>
      </c>
      <c r="CZ64" s="7">
        <v>4176</v>
      </c>
      <c r="DA64" s="7">
        <v>54</v>
      </c>
      <c r="DB64" s="7">
        <v>31</v>
      </c>
      <c r="DC64" s="7">
        <v>4</v>
      </c>
      <c r="DD64" s="7">
        <v>1723</v>
      </c>
      <c r="DE64" s="7">
        <v>5221</v>
      </c>
      <c r="DF64" s="7">
        <v>4507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15</v>
      </c>
      <c r="DM64" s="7">
        <v>15</v>
      </c>
      <c r="DN64" s="7">
        <v>5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45</v>
      </c>
      <c r="DU64" s="7">
        <v>49</v>
      </c>
      <c r="DV64" s="7">
        <v>31</v>
      </c>
      <c r="DW64" s="7">
        <v>36</v>
      </c>
      <c r="DX64" s="7">
        <v>22</v>
      </c>
      <c r="DY64" s="7">
        <v>15</v>
      </c>
      <c r="DZ64" s="7">
        <v>13</v>
      </c>
      <c r="EA64" s="7">
        <v>17</v>
      </c>
      <c r="EB64" s="7">
        <v>5</v>
      </c>
      <c r="EC64" s="7">
        <v>3</v>
      </c>
      <c r="ED64" s="7">
        <v>5</v>
      </c>
      <c r="EE64" s="7">
        <v>5</v>
      </c>
      <c r="EF64" s="7">
        <v>17</v>
      </c>
      <c r="EG64" s="7">
        <v>11</v>
      </c>
      <c r="EH64" s="7">
        <v>76</v>
      </c>
      <c r="EI64" s="7">
        <v>57</v>
      </c>
      <c r="EJ64" s="7">
        <v>26</v>
      </c>
      <c r="EK64" s="7">
        <v>20</v>
      </c>
      <c r="EL64" s="7">
        <v>4</v>
      </c>
      <c r="EM64" s="7">
        <v>7</v>
      </c>
      <c r="EN64" s="7">
        <v>17</v>
      </c>
      <c r="EO64" s="7">
        <v>3067</v>
      </c>
      <c r="EP64" s="7">
        <v>3021</v>
      </c>
      <c r="EQ64" s="7">
        <v>46</v>
      </c>
      <c r="ER64" s="7">
        <v>761</v>
      </c>
      <c r="ES64" s="7">
        <v>155</v>
      </c>
      <c r="ET64" s="7">
        <v>152</v>
      </c>
      <c r="EU64" s="7">
        <v>3</v>
      </c>
      <c r="EV64" s="7">
        <v>3525</v>
      </c>
      <c r="EW64" s="134">
        <v>88.140780413000002</v>
      </c>
      <c r="EX64" s="134">
        <v>4.0933435347999998</v>
      </c>
      <c r="EY64" s="134">
        <v>3.1369548585000002</v>
      </c>
      <c r="EZ64" s="134">
        <v>3.7872991584000002</v>
      </c>
      <c r="FA64" s="134">
        <v>0.84162203520000001</v>
      </c>
      <c r="FB64" s="7">
        <v>508</v>
      </c>
      <c r="FC64" s="7">
        <v>2113</v>
      </c>
      <c r="FD64" s="7">
        <v>104</v>
      </c>
      <c r="FE64" s="7">
        <v>314</v>
      </c>
      <c r="FF64" s="7">
        <v>4</v>
      </c>
      <c r="FG64" s="7">
        <v>151</v>
      </c>
      <c r="FH64" s="7">
        <v>24</v>
      </c>
      <c r="FI64" s="134">
        <v>92.501912777000001</v>
      </c>
      <c r="FJ64" s="134">
        <v>3.0221882173000001</v>
      </c>
      <c r="FK64" s="134">
        <v>3.0221882173000001</v>
      </c>
      <c r="FL64" s="134">
        <v>1.4537107881</v>
      </c>
      <c r="FM64" s="151">
        <v>4450</v>
      </c>
      <c r="FN64" s="151">
        <v>1356</v>
      </c>
      <c r="FO64" s="7">
        <v>617</v>
      </c>
      <c r="FP64" s="7">
        <v>11</v>
      </c>
      <c r="FQ64" s="7">
        <v>2</v>
      </c>
      <c r="FR64" s="7">
        <v>50</v>
      </c>
      <c r="FS64" s="7">
        <v>3820</v>
      </c>
      <c r="FT64" s="7">
        <v>8</v>
      </c>
      <c r="FU64" s="7">
        <v>7</v>
      </c>
      <c r="FV64" s="7">
        <v>29</v>
      </c>
      <c r="FW64" s="7">
        <v>4481</v>
      </c>
      <c r="FX64" s="7">
        <v>1106</v>
      </c>
      <c r="FY64" s="7">
        <v>564</v>
      </c>
      <c r="FZ64" s="7">
        <v>8</v>
      </c>
      <c r="GA64" s="7">
        <v>1</v>
      </c>
      <c r="GB64" s="7">
        <v>49</v>
      </c>
      <c r="GC64" s="7">
        <v>3932</v>
      </c>
      <c r="GD64" s="7">
        <v>1</v>
      </c>
      <c r="GE64" s="7">
        <v>6</v>
      </c>
      <c r="GF64" s="7">
        <v>29</v>
      </c>
      <c r="GG64" s="7">
        <v>541</v>
      </c>
      <c r="GH64" s="7">
        <v>668</v>
      </c>
      <c r="GI64" s="7">
        <v>711</v>
      </c>
      <c r="GJ64" s="7">
        <v>551</v>
      </c>
      <c r="GK64" s="7">
        <v>345</v>
      </c>
      <c r="GL64" s="7">
        <v>290</v>
      </c>
      <c r="GM64" s="7">
        <v>289</v>
      </c>
      <c r="GN64" s="7">
        <v>233</v>
      </c>
      <c r="GO64" s="7">
        <v>192</v>
      </c>
      <c r="GP64" s="7">
        <v>153</v>
      </c>
      <c r="GQ64" s="7">
        <v>128</v>
      </c>
      <c r="GR64" s="7">
        <v>101</v>
      </c>
      <c r="GS64" s="7">
        <v>90</v>
      </c>
      <c r="GT64" s="7">
        <v>51</v>
      </c>
      <c r="GU64" s="7">
        <v>56</v>
      </c>
      <c r="GV64" s="7">
        <v>20</v>
      </c>
      <c r="GW64" s="7">
        <v>18</v>
      </c>
      <c r="GX64" s="7">
        <v>12</v>
      </c>
      <c r="GY64" s="7">
        <v>547</v>
      </c>
      <c r="GZ64" s="7">
        <v>627</v>
      </c>
      <c r="HA64" s="7">
        <v>658</v>
      </c>
      <c r="HB64" s="7">
        <v>520</v>
      </c>
      <c r="HC64" s="7">
        <v>423</v>
      </c>
      <c r="HD64" s="7">
        <v>348</v>
      </c>
      <c r="HE64" s="7">
        <v>318</v>
      </c>
      <c r="HF64" s="7">
        <v>255</v>
      </c>
      <c r="HG64" s="7">
        <v>184</v>
      </c>
      <c r="HH64" s="7">
        <v>166</v>
      </c>
      <c r="HI64" s="7">
        <v>116</v>
      </c>
      <c r="HJ64" s="7">
        <v>97</v>
      </c>
      <c r="HK64" s="7">
        <v>84</v>
      </c>
      <c r="HL64" s="7">
        <v>60</v>
      </c>
      <c r="HM64" s="7">
        <v>35</v>
      </c>
      <c r="HN64" s="7">
        <v>17</v>
      </c>
      <c r="HO64" s="7">
        <v>7</v>
      </c>
      <c r="HP64" s="7">
        <v>18</v>
      </c>
      <c r="HQ64" s="7">
        <v>1968</v>
      </c>
      <c r="HR64" s="7">
        <v>24</v>
      </c>
      <c r="HS64" s="7">
        <v>0</v>
      </c>
      <c r="HT64" s="7">
        <v>0</v>
      </c>
      <c r="HU64" s="7">
        <v>0</v>
      </c>
      <c r="HV64" s="7">
        <v>0</v>
      </c>
      <c r="HW64" s="7">
        <v>0</v>
      </c>
      <c r="HX64" s="7">
        <v>13</v>
      </c>
      <c r="HY64" s="7">
        <v>31</v>
      </c>
      <c r="HZ64" s="7">
        <v>116</v>
      </c>
      <c r="IA64" s="7">
        <v>223</v>
      </c>
      <c r="IB64" s="7">
        <v>321</v>
      </c>
      <c r="IC64" s="7">
        <v>343</v>
      </c>
      <c r="ID64" s="7">
        <v>318</v>
      </c>
      <c r="IE64" s="7">
        <v>220</v>
      </c>
      <c r="IF64" s="7">
        <v>154</v>
      </c>
      <c r="IG64" s="7">
        <v>266</v>
      </c>
      <c r="IH64" s="7">
        <v>131</v>
      </c>
      <c r="II64" s="7">
        <v>743</v>
      </c>
      <c r="IJ64" s="7">
        <v>636</v>
      </c>
      <c r="IK64" s="7">
        <v>270</v>
      </c>
      <c r="IL64" s="7">
        <v>155</v>
      </c>
      <c r="IM64" s="7">
        <v>29</v>
      </c>
      <c r="IN64" s="7">
        <v>11</v>
      </c>
      <c r="IO64" s="7">
        <v>3</v>
      </c>
      <c r="IP64" s="7">
        <v>2</v>
      </c>
      <c r="IQ64" s="7">
        <v>945</v>
      </c>
      <c r="IR64" s="7">
        <v>677</v>
      </c>
      <c r="IS64" s="7">
        <v>230</v>
      </c>
      <c r="IT64" s="7">
        <v>112</v>
      </c>
      <c r="IU64" s="7">
        <v>17</v>
      </c>
      <c r="IV64" s="7">
        <v>148</v>
      </c>
      <c r="IW64" s="7">
        <v>1380</v>
      </c>
      <c r="IX64" s="7">
        <v>4</v>
      </c>
      <c r="IY64" s="7">
        <v>46</v>
      </c>
      <c r="IZ64" s="7">
        <v>3</v>
      </c>
      <c r="JA64" s="7">
        <v>402</v>
      </c>
      <c r="JB64" s="7">
        <v>196</v>
      </c>
      <c r="JC64" s="7">
        <v>504</v>
      </c>
      <c r="JD64" s="7">
        <v>52</v>
      </c>
      <c r="JE64" s="7">
        <v>0</v>
      </c>
      <c r="JF64" s="151">
        <v>1940.6812737348566</v>
      </c>
      <c r="JG64" s="151">
        <v>46.256569305606853</v>
      </c>
      <c r="JH64" s="7">
        <v>371</v>
      </c>
      <c r="JI64" s="7">
        <v>1571</v>
      </c>
      <c r="JJ64" s="7">
        <v>43</v>
      </c>
      <c r="JK64" s="7">
        <v>7</v>
      </c>
      <c r="JL64" s="7">
        <v>666</v>
      </c>
      <c r="JM64" s="7">
        <v>233</v>
      </c>
      <c r="JN64" s="7">
        <v>234</v>
      </c>
      <c r="JO64" s="7">
        <v>864</v>
      </c>
      <c r="JP64" s="7">
        <v>1007</v>
      </c>
      <c r="JQ64" s="7">
        <v>34</v>
      </c>
      <c r="JR64" s="7">
        <v>59</v>
      </c>
      <c r="JS64" s="7">
        <v>61</v>
      </c>
      <c r="JT64" s="7">
        <v>2</v>
      </c>
      <c r="JU64" s="151">
        <v>27.05572921648703</v>
      </c>
      <c r="JV64" s="151">
        <v>497.12720521648424</v>
      </c>
      <c r="JW64" s="151">
        <v>1414.927361476412</v>
      </c>
      <c r="JX64" s="151">
        <v>1.5709778254734403</v>
      </c>
      <c r="JY64" s="7">
        <v>1804</v>
      </c>
      <c r="JZ64" s="7">
        <v>11318</v>
      </c>
      <c r="KA64" s="7">
        <v>94</v>
      </c>
      <c r="KB64" s="7">
        <v>0</v>
      </c>
      <c r="KC64" s="7">
        <v>0</v>
      </c>
      <c r="KD64" s="7">
        <v>0</v>
      </c>
      <c r="KE64" s="7">
        <v>0</v>
      </c>
      <c r="KF64" s="7">
        <v>0</v>
      </c>
      <c r="KG64" s="7">
        <v>39</v>
      </c>
      <c r="KH64" s="7">
        <v>2198</v>
      </c>
      <c r="KI64" s="7">
        <v>8983</v>
      </c>
      <c r="KJ64" s="7">
        <v>191</v>
      </c>
      <c r="KK64" s="7">
        <v>40</v>
      </c>
      <c r="KL64" s="7">
        <v>155</v>
      </c>
      <c r="KM64" s="7">
        <v>2848</v>
      </c>
      <c r="KN64" s="7">
        <v>8106</v>
      </c>
      <c r="KO64" s="7">
        <v>9</v>
      </c>
      <c r="KP64" s="7">
        <v>11118</v>
      </c>
      <c r="KQ64" s="7">
        <v>265</v>
      </c>
      <c r="KR64" s="7">
        <v>1985</v>
      </c>
      <c r="KS64" s="7">
        <v>1985</v>
      </c>
      <c r="KT64" s="7">
        <v>474</v>
      </c>
      <c r="KU64" s="7">
        <v>101</v>
      </c>
      <c r="KV64" s="7">
        <v>265</v>
      </c>
      <c r="KW64" s="7">
        <v>1</v>
      </c>
      <c r="KX64" s="7">
        <v>489</v>
      </c>
      <c r="KY64" s="7">
        <v>120</v>
      </c>
      <c r="KZ64" s="7">
        <v>159</v>
      </c>
      <c r="LA64" s="7">
        <v>1</v>
      </c>
      <c r="LB64" s="7">
        <v>1022</v>
      </c>
      <c r="LC64" s="7">
        <v>993</v>
      </c>
      <c r="LD64" s="7">
        <v>610</v>
      </c>
      <c r="LE64" s="7">
        <v>1093</v>
      </c>
      <c r="LF64" s="7">
        <v>6532</v>
      </c>
      <c r="LG64" s="7">
        <v>17</v>
      </c>
      <c r="LH64" s="7">
        <v>2008</v>
      </c>
      <c r="LI64" s="7">
        <v>184</v>
      </c>
      <c r="LJ64" s="7">
        <v>347</v>
      </c>
      <c r="LK64" s="7">
        <v>5</v>
      </c>
      <c r="LL64" s="7">
        <v>217</v>
      </c>
      <c r="LM64" s="7">
        <v>25</v>
      </c>
      <c r="LN64" s="7">
        <v>23</v>
      </c>
      <c r="LO64" s="7">
        <v>1925</v>
      </c>
      <c r="LP64" s="7">
        <v>128</v>
      </c>
      <c r="LQ64" s="7">
        <v>221</v>
      </c>
      <c r="LR64" s="7">
        <v>8</v>
      </c>
      <c r="LS64" s="7">
        <v>123</v>
      </c>
      <c r="LT64" s="7">
        <v>13</v>
      </c>
      <c r="LU64" s="232">
        <v>4.4409146715999999</v>
      </c>
      <c r="LV64" s="232">
        <v>4.9329896907000004</v>
      </c>
      <c r="LW64" s="232">
        <v>3.9366065879000001</v>
      </c>
      <c r="LX64" s="7">
        <v>1992</v>
      </c>
      <c r="LY64" s="7">
        <v>11412</v>
      </c>
    </row>
    <row r="65" spans="1:337" x14ac:dyDescent="0.25">
      <c r="A65" t="s">
        <v>266</v>
      </c>
      <c r="B65" t="s">
        <v>267</v>
      </c>
      <c r="C65" s="7">
        <v>8580</v>
      </c>
      <c r="D65">
        <v>9856</v>
      </c>
      <c r="F65">
        <f t="shared" si="2"/>
        <v>-9856</v>
      </c>
      <c r="G65">
        <f t="shared" si="3"/>
        <v>-100</v>
      </c>
      <c r="H65">
        <v>4993</v>
      </c>
      <c r="I65">
        <v>4863</v>
      </c>
      <c r="J65">
        <v>0</v>
      </c>
      <c r="K65">
        <v>9856</v>
      </c>
      <c r="L65" s="7">
        <v>636</v>
      </c>
      <c r="M65" s="7">
        <v>724</v>
      </c>
      <c r="N65" s="7">
        <v>775</v>
      </c>
      <c r="O65" s="7">
        <v>635</v>
      </c>
      <c r="P65" s="7">
        <v>445</v>
      </c>
      <c r="Q65" s="7">
        <v>271</v>
      </c>
      <c r="R65" s="7">
        <v>272</v>
      </c>
      <c r="S65" s="7">
        <v>272</v>
      </c>
      <c r="T65" s="7">
        <v>237</v>
      </c>
      <c r="U65" s="7">
        <v>186</v>
      </c>
      <c r="V65" s="7">
        <v>144</v>
      </c>
      <c r="W65" s="7">
        <v>119</v>
      </c>
      <c r="X65" s="7">
        <v>95</v>
      </c>
      <c r="Y65" s="7">
        <v>172</v>
      </c>
      <c r="Z65" s="7">
        <v>10</v>
      </c>
      <c r="AA65" s="7">
        <v>627</v>
      </c>
      <c r="AB65" s="7">
        <v>711</v>
      </c>
      <c r="AC65" s="7">
        <v>738</v>
      </c>
      <c r="AD65" s="7">
        <v>634</v>
      </c>
      <c r="AE65" s="7">
        <v>406</v>
      </c>
      <c r="AF65" s="7">
        <v>336</v>
      </c>
      <c r="AG65" s="7">
        <v>347</v>
      </c>
      <c r="AH65" s="7">
        <v>251</v>
      </c>
      <c r="AI65" s="7">
        <v>179</v>
      </c>
      <c r="AJ65" s="7">
        <v>180</v>
      </c>
      <c r="AK65" s="7">
        <v>131</v>
      </c>
      <c r="AL65" s="7">
        <v>108</v>
      </c>
      <c r="AM65" s="7">
        <v>66</v>
      </c>
      <c r="AN65" s="7">
        <v>140</v>
      </c>
      <c r="AO65" s="7">
        <v>9</v>
      </c>
      <c r="AP65">
        <v>8416</v>
      </c>
      <c r="AQ65">
        <v>1260</v>
      </c>
      <c r="AR65">
        <v>16</v>
      </c>
      <c r="AS65">
        <v>128</v>
      </c>
      <c r="AT65">
        <v>36</v>
      </c>
      <c r="AU65" s="7">
        <v>4051</v>
      </c>
      <c r="AV65" s="7">
        <v>2036</v>
      </c>
      <c r="AW65" s="7">
        <v>2015</v>
      </c>
      <c r="AX65" s="7">
        <v>2583</v>
      </c>
      <c r="AY65" s="7">
        <v>4051</v>
      </c>
      <c r="AZ65" s="7">
        <v>4051</v>
      </c>
      <c r="BA65" s="7">
        <v>0</v>
      </c>
      <c r="BB65" s="7">
        <v>95</v>
      </c>
      <c r="BC65" s="7">
        <v>93</v>
      </c>
      <c r="BD65" s="7">
        <v>310</v>
      </c>
      <c r="BE65" s="7">
        <v>333</v>
      </c>
      <c r="BF65" s="7">
        <v>356</v>
      </c>
      <c r="BG65" s="7">
        <v>338</v>
      </c>
      <c r="BH65" s="7">
        <v>257</v>
      </c>
      <c r="BI65" s="7">
        <v>242</v>
      </c>
      <c r="BJ65" s="7">
        <v>189</v>
      </c>
      <c r="BK65" s="7">
        <v>178</v>
      </c>
      <c r="BL65" s="7">
        <v>107</v>
      </c>
      <c r="BM65" s="7">
        <v>165</v>
      </c>
      <c r="BN65" s="7">
        <v>127</v>
      </c>
      <c r="BO65" s="7">
        <v>168</v>
      </c>
      <c r="BP65" s="7">
        <v>122</v>
      </c>
      <c r="BQ65" s="7">
        <v>128</v>
      </c>
      <c r="BR65" s="7">
        <v>116</v>
      </c>
      <c r="BS65" s="7">
        <v>74</v>
      </c>
      <c r="BT65" s="7">
        <v>101</v>
      </c>
      <c r="BU65" s="7">
        <v>89</v>
      </c>
      <c r="BV65" s="7">
        <v>73</v>
      </c>
      <c r="BW65" s="7">
        <v>53</v>
      </c>
      <c r="BX65" s="7">
        <v>55</v>
      </c>
      <c r="BY65" s="7">
        <v>53</v>
      </c>
      <c r="BZ65" s="7">
        <v>50</v>
      </c>
      <c r="CA65" s="7">
        <v>37</v>
      </c>
      <c r="CB65" s="7">
        <v>78</v>
      </c>
      <c r="CC65" s="7">
        <v>64</v>
      </c>
      <c r="CD65" s="7">
        <v>1740</v>
      </c>
      <c r="CE65" s="7">
        <v>1594</v>
      </c>
      <c r="CF65" s="7">
        <v>232</v>
      </c>
      <c r="CG65" s="7">
        <v>345</v>
      </c>
      <c r="CH65" s="7">
        <v>1679</v>
      </c>
      <c r="CI65" s="7">
        <v>222</v>
      </c>
      <c r="CJ65" s="7">
        <v>8986</v>
      </c>
      <c r="CK65" s="7">
        <v>855</v>
      </c>
      <c r="CL65" s="7">
        <v>62</v>
      </c>
      <c r="CM65" s="7">
        <v>179</v>
      </c>
      <c r="CN65" s="7">
        <v>275</v>
      </c>
      <c r="CO65" s="7">
        <v>302</v>
      </c>
      <c r="CP65" s="7">
        <v>347</v>
      </c>
      <c r="CQ65" s="7">
        <v>736</v>
      </c>
      <c r="CR65" s="7">
        <v>1607</v>
      </c>
      <c r="CS65" s="7">
        <v>5338</v>
      </c>
      <c r="CT65" s="7">
        <v>521</v>
      </c>
      <c r="CU65" s="7">
        <v>178</v>
      </c>
      <c r="CV65" s="7">
        <v>73</v>
      </c>
      <c r="CW65" s="7">
        <v>180</v>
      </c>
      <c r="CX65" s="7">
        <v>15</v>
      </c>
      <c r="CY65" s="7">
        <v>6635</v>
      </c>
      <c r="CZ65" s="7">
        <v>2882</v>
      </c>
      <c r="DA65" s="7">
        <v>81</v>
      </c>
      <c r="DB65" s="7">
        <v>62</v>
      </c>
      <c r="DC65" s="7">
        <v>4</v>
      </c>
      <c r="DD65" s="7">
        <v>1890</v>
      </c>
      <c r="DE65" s="7">
        <v>3044</v>
      </c>
      <c r="DF65" s="7">
        <v>4922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14</v>
      </c>
      <c r="DM65" s="7">
        <v>9</v>
      </c>
      <c r="DN65" s="7">
        <v>5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48</v>
      </c>
      <c r="DU65" s="7">
        <v>39</v>
      </c>
      <c r="DV65" s="7">
        <v>11</v>
      </c>
      <c r="DW65" s="7">
        <v>15</v>
      </c>
      <c r="DX65" s="7">
        <v>15</v>
      </c>
      <c r="DY65" s="7">
        <v>7</v>
      </c>
      <c r="DZ65" s="7">
        <v>8</v>
      </c>
      <c r="EA65" s="7">
        <v>13</v>
      </c>
      <c r="EB65" s="7">
        <v>6</v>
      </c>
      <c r="EC65" s="7">
        <v>2</v>
      </c>
      <c r="ED65" s="7">
        <v>3</v>
      </c>
      <c r="EE65" s="7">
        <v>5</v>
      </c>
      <c r="EF65" s="7">
        <v>22</v>
      </c>
      <c r="EG65" s="7">
        <v>12</v>
      </c>
      <c r="EH65" s="7">
        <v>52</v>
      </c>
      <c r="EI65" s="7">
        <v>12</v>
      </c>
      <c r="EJ65" s="7">
        <v>10</v>
      </c>
      <c r="EK65" s="7">
        <v>9</v>
      </c>
      <c r="EL65" s="7">
        <v>4</v>
      </c>
      <c r="EM65" s="7">
        <v>3</v>
      </c>
      <c r="EN65" s="7">
        <v>17</v>
      </c>
      <c r="EO65" s="7">
        <v>2538</v>
      </c>
      <c r="EP65" s="7">
        <v>2509</v>
      </c>
      <c r="EQ65" s="7">
        <v>29</v>
      </c>
      <c r="ER65" s="7">
        <v>724</v>
      </c>
      <c r="ES65" s="7">
        <v>230</v>
      </c>
      <c r="ET65" s="7">
        <v>225</v>
      </c>
      <c r="EU65" s="7">
        <v>5</v>
      </c>
      <c r="EV65" s="7">
        <v>3017</v>
      </c>
      <c r="EW65" s="134">
        <v>85.952380951999999</v>
      </c>
      <c r="EX65" s="134">
        <v>4.2857142857000001</v>
      </c>
      <c r="EY65" s="134">
        <v>3.2653061224000002</v>
      </c>
      <c r="EZ65" s="134">
        <v>5.7482993197000001</v>
      </c>
      <c r="FA65" s="134">
        <v>0.74829931969999997</v>
      </c>
      <c r="FB65" s="7">
        <v>571</v>
      </c>
      <c r="FC65" s="7">
        <v>1485</v>
      </c>
      <c r="FD65" s="7">
        <v>109</v>
      </c>
      <c r="FE65" s="7">
        <v>385</v>
      </c>
      <c r="FF65" s="7">
        <v>0</v>
      </c>
      <c r="FG65" s="7">
        <v>173</v>
      </c>
      <c r="FH65" s="7">
        <v>40</v>
      </c>
      <c r="FI65" s="134">
        <v>83.231292517</v>
      </c>
      <c r="FJ65" s="134">
        <v>8.6734693878000009</v>
      </c>
      <c r="FK65" s="134">
        <v>5.5782312924999999</v>
      </c>
      <c r="FL65" s="134">
        <v>2.5170068027000001</v>
      </c>
      <c r="FM65" s="151">
        <v>3341</v>
      </c>
      <c r="FN65" s="151">
        <v>1627</v>
      </c>
      <c r="FO65" s="7">
        <v>1031</v>
      </c>
      <c r="FP65" s="7">
        <v>10</v>
      </c>
      <c r="FQ65" s="7">
        <v>2</v>
      </c>
      <c r="FR65" s="7">
        <v>7</v>
      </c>
      <c r="FS65" s="7">
        <v>2299</v>
      </c>
      <c r="FT65" s="7">
        <v>8</v>
      </c>
      <c r="FU65" s="7">
        <v>9</v>
      </c>
      <c r="FV65" s="7">
        <v>25</v>
      </c>
      <c r="FW65" s="7">
        <v>3274</v>
      </c>
      <c r="FX65" s="7">
        <v>1559</v>
      </c>
      <c r="FY65" s="7">
        <v>981</v>
      </c>
      <c r="FZ65" s="7">
        <v>12</v>
      </c>
      <c r="GA65" s="7">
        <v>2</v>
      </c>
      <c r="GB65" s="7">
        <v>5</v>
      </c>
      <c r="GC65" s="7">
        <v>2284</v>
      </c>
      <c r="GD65" s="7">
        <v>6</v>
      </c>
      <c r="GE65" s="7">
        <v>4</v>
      </c>
      <c r="GF65" s="7">
        <v>30</v>
      </c>
      <c r="GG65" s="7">
        <v>386</v>
      </c>
      <c r="GH65" s="7">
        <v>508</v>
      </c>
      <c r="GI65" s="7">
        <v>578</v>
      </c>
      <c r="GJ65" s="7">
        <v>423</v>
      </c>
      <c r="GK65" s="7">
        <v>258</v>
      </c>
      <c r="GL65" s="7">
        <v>157</v>
      </c>
      <c r="GM65" s="7">
        <v>184</v>
      </c>
      <c r="GN65" s="7">
        <v>192</v>
      </c>
      <c r="GO65" s="7">
        <v>161</v>
      </c>
      <c r="GP65" s="7">
        <v>131</v>
      </c>
      <c r="GQ65" s="7">
        <v>94</v>
      </c>
      <c r="GR65" s="7">
        <v>84</v>
      </c>
      <c r="GS65" s="7">
        <v>62</v>
      </c>
      <c r="GT65" s="7">
        <v>39</v>
      </c>
      <c r="GU65" s="7">
        <v>44</v>
      </c>
      <c r="GV65" s="7">
        <v>19</v>
      </c>
      <c r="GW65" s="7">
        <v>11</v>
      </c>
      <c r="GX65" s="7">
        <v>7</v>
      </c>
      <c r="GY65" s="7">
        <v>354</v>
      </c>
      <c r="GZ65" s="7">
        <v>479</v>
      </c>
      <c r="HA65" s="7">
        <v>510</v>
      </c>
      <c r="HB65" s="7">
        <v>394</v>
      </c>
      <c r="HC65" s="7">
        <v>261</v>
      </c>
      <c r="HD65" s="7">
        <v>238</v>
      </c>
      <c r="HE65" s="7">
        <v>258</v>
      </c>
      <c r="HF65" s="7">
        <v>189</v>
      </c>
      <c r="HG65" s="7">
        <v>133</v>
      </c>
      <c r="HH65" s="7">
        <v>132</v>
      </c>
      <c r="HI65" s="7">
        <v>96</v>
      </c>
      <c r="HJ65" s="7">
        <v>84</v>
      </c>
      <c r="HK65" s="7">
        <v>44</v>
      </c>
      <c r="HL65" s="7">
        <v>39</v>
      </c>
      <c r="HM65" s="7">
        <v>30</v>
      </c>
      <c r="HN65" s="7">
        <v>20</v>
      </c>
      <c r="HO65" s="7">
        <v>7</v>
      </c>
      <c r="HP65" s="7">
        <v>5</v>
      </c>
      <c r="HQ65" s="7">
        <v>1898</v>
      </c>
      <c r="HR65" s="7">
        <v>0</v>
      </c>
      <c r="HS65" s="7">
        <v>1</v>
      </c>
      <c r="HT65" s="7">
        <v>1</v>
      </c>
      <c r="HU65" s="7">
        <v>0</v>
      </c>
      <c r="HV65" s="7">
        <v>0</v>
      </c>
      <c r="HW65" s="7">
        <v>0</v>
      </c>
      <c r="HX65" s="7">
        <v>6</v>
      </c>
      <c r="HY65" s="7">
        <v>62</v>
      </c>
      <c r="HZ65" s="7">
        <v>179</v>
      </c>
      <c r="IA65" s="7">
        <v>275</v>
      </c>
      <c r="IB65" s="7">
        <v>302</v>
      </c>
      <c r="IC65" s="7">
        <v>347</v>
      </c>
      <c r="ID65" s="7">
        <v>261</v>
      </c>
      <c r="IE65" s="7">
        <v>169</v>
      </c>
      <c r="IF65" s="7">
        <v>110</v>
      </c>
      <c r="IG65" s="7">
        <v>196</v>
      </c>
      <c r="IH65" s="7">
        <v>222</v>
      </c>
      <c r="II65" s="7">
        <v>508</v>
      </c>
      <c r="IJ65" s="7">
        <v>563</v>
      </c>
      <c r="IK65" s="7">
        <v>322</v>
      </c>
      <c r="IL65" s="7">
        <v>189</v>
      </c>
      <c r="IM65" s="7">
        <v>55</v>
      </c>
      <c r="IN65" s="7">
        <v>16</v>
      </c>
      <c r="IO65" s="7">
        <v>5</v>
      </c>
      <c r="IP65" s="7">
        <v>1</v>
      </c>
      <c r="IQ65" s="7">
        <v>792</v>
      </c>
      <c r="IR65" s="7">
        <v>679</v>
      </c>
      <c r="IS65" s="7">
        <v>273</v>
      </c>
      <c r="IT65" s="7">
        <v>118</v>
      </c>
      <c r="IU65" s="7">
        <v>23</v>
      </c>
      <c r="IV65" s="7">
        <v>172</v>
      </c>
      <c r="IW65" s="7">
        <v>761</v>
      </c>
      <c r="IX65" s="7">
        <v>5</v>
      </c>
      <c r="IY65" s="7">
        <v>24</v>
      </c>
      <c r="IZ65" s="7">
        <v>0</v>
      </c>
      <c r="JA65" s="7">
        <v>920</v>
      </c>
      <c r="JB65" s="7">
        <v>2</v>
      </c>
      <c r="JC65" s="7">
        <v>1371</v>
      </c>
      <c r="JD65" s="7">
        <v>4</v>
      </c>
      <c r="JE65" s="7">
        <v>0</v>
      </c>
      <c r="JF65" s="151">
        <v>1630.1736862266259</v>
      </c>
      <c r="JG65" s="151">
        <v>263.48582865423839</v>
      </c>
      <c r="JH65" s="7">
        <v>108</v>
      </c>
      <c r="JI65" s="7">
        <v>1757</v>
      </c>
      <c r="JJ65" s="7">
        <v>22</v>
      </c>
      <c r="JK65" s="7">
        <v>14</v>
      </c>
      <c r="JL65" s="7">
        <v>1026</v>
      </c>
      <c r="JM65" s="7">
        <v>534</v>
      </c>
      <c r="JN65" s="7">
        <v>241</v>
      </c>
      <c r="JO65" s="7">
        <v>994</v>
      </c>
      <c r="JP65" s="7">
        <v>1153</v>
      </c>
      <c r="JQ65" s="7">
        <v>40</v>
      </c>
      <c r="JR65" s="7">
        <v>56</v>
      </c>
      <c r="JS65" s="7">
        <v>152</v>
      </c>
      <c r="JT65" s="7">
        <v>6</v>
      </c>
      <c r="JU65" s="151">
        <v>133.6746286134406</v>
      </c>
      <c r="JV65" s="151">
        <v>1162.1193146509518</v>
      </c>
      <c r="JW65" s="151">
        <v>326.65288581694807</v>
      </c>
      <c r="JX65" s="151">
        <v>7.7268571452855834</v>
      </c>
      <c r="JY65" s="7">
        <v>1813</v>
      </c>
      <c r="JZ65" s="7">
        <v>9824</v>
      </c>
      <c r="KA65" s="7">
        <v>0</v>
      </c>
      <c r="KB65" s="7">
        <v>3</v>
      </c>
      <c r="KC65" s="7">
        <v>10</v>
      </c>
      <c r="KD65" s="7">
        <v>0</v>
      </c>
      <c r="KE65" s="7">
        <v>0</v>
      </c>
      <c r="KF65" s="7">
        <v>0</v>
      </c>
      <c r="KG65" s="7">
        <v>19</v>
      </c>
      <c r="KH65" s="7">
        <v>562</v>
      </c>
      <c r="KI65" s="7">
        <v>9118</v>
      </c>
      <c r="KJ65" s="7">
        <v>96</v>
      </c>
      <c r="KK65" s="7">
        <v>65</v>
      </c>
      <c r="KL65" s="7">
        <v>692</v>
      </c>
      <c r="KM65" s="7">
        <v>6016</v>
      </c>
      <c r="KN65" s="7">
        <v>1691</v>
      </c>
      <c r="KO65" s="7">
        <v>40</v>
      </c>
      <c r="KP65" s="7">
        <v>8439</v>
      </c>
      <c r="KQ65" s="7">
        <v>1364</v>
      </c>
      <c r="KR65" s="7">
        <v>1783</v>
      </c>
      <c r="KS65" s="7">
        <v>1783</v>
      </c>
      <c r="KT65" s="7">
        <v>362</v>
      </c>
      <c r="KU65" s="7">
        <v>132</v>
      </c>
      <c r="KV65" s="7">
        <v>255</v>
      </c>
      <c r="KW65" s="7">
        <v>1</v>
      </c>
      <c r="KX65" s="7">
        <v>369</v>
      </c>
      <c r="KY65" s="7">
        <v>148</v>
      </c>
      <c r="KZ65" s="7">
        <v>277</v>
      </c>
      <c r="LA65" s="7">
        <v>0</v>
      </c>
      <c r="LB65" s="7">
        <v>991</v>
      </c>
      <c r="LC65" s="7">
        <v>940</v>
      </c>
      <c r="LD65" s="7">
        <v>526</v>
      </c>
      <c r="LE65" s="7">
        <v>846</v>
      </c>
      <c r="LF65" s="7">
        <v>5626</v>
      </c>
      <c r="LG65" s="7">
        <v>14</v>
      </c>
      <c r="LH65" s="7">
        <v>1396</v>
      </c>
      <c r="LI65" s="7">
        <v>195</v>
      </c>
      <c r="LJ65" s="7">
        <v>407</v>
      </c>
      <c r="LK65" s="7">
        <v>1</v>
      </c>
      <c r="LL65" s="7">
        <v>227</v>
      </c>
      <c r="LM65" s="7">
        <v>41</v>
      </c>
      <c r="LN65" s="7">
        <v>12</v>
      </c>
      <c r="LO65" s="7">
        <v>1282</v>
      </c>
      <c r="LP65" s="7">
        <v>156</v>
      </c>
      <c r="LQ65" s="7">
        <v>348</v>
      </c>
      <c r="LR65" s="7">
        <v>0</v>
      </c>
      <c r="LS65" s="7">
        <v>193</v>
      </c>
      <c r="LT65" s="7">
        <v>19</v>
      </c>
      <c r="LU65" s="232">
        <v>4.7284236804999997</v>
      </c>
      <c r="LV65" s="232">
        <v>5.0327811067999999</v>
      </c>
      <c r="LW65" s="232">
        <v>4.4168170336000001</v>
      </c>
      <c r="LX65" s="7">
        <v>1901</v>
      </c>
      <c r="LY65" s="7">
        <v>9841</v>
      </c>
    </row>
    <row r="66" spans="1:337" x14ac:dyDescent="0.25">
      <c r="A66" t="s">
        <v>142</v>
      </c>
      <c r="B66" t="s">
        <v>143</v>
      </c>
      <c r="C66" s="7">
        <v>7180</v>
      </c>
      <c r="D66">
        <v>7793</v>
      </c>
      <c r="F66">
        <f t="shared" si="2"/>
        <v>-7793</v>
      </c>
      <c r="G66">
        <f t="shared" si="3"/>
        <v>-100</v>
      </c>
      <c r="H66">
        <v>3868</v>
      </c>
      <c r="I66">
        <v>3925</v>
      </c>
      <c r="J66">
        <v>0</v>
      </c>
      <c r="K66">
        <v>7793</v>
      </c>
      <c r="L66" s="7">
        <v>503</v>
      </c>
      <c r="M66" s="7">
        <v>519</v>
      </c>
      <c r="N66" s="7">
        <v>509</v>
      </c>
      <c r="O66" s="7">
        <v>394</v>
      </c>
      <c r="P66" s="7">
        <v>291</v>
      </c>
      <c r="Q66" s="7">
        <v>248</v>
      </c>
      <c r="R66" s="7">
        <v>198</v>
      </c>
      <c r="S66" s="7">
        <v>205</v>
      </c>
      <c r="T66" s="7">
        <v>184</v>
      </c>
      <c r="U66" s="7">
        <v>138</v>
      </c>
      <c r="V66" s="7">
        <v>132</v>
      </c>
      <c r="W66" s="7">
        <v>120</v>
      </c>
      <c r="X66" s="7">
        <v>117</v>
      </c>
      <c r="Y66" s="7">
        <v>309</v>
      </c>
      <c r="Z66" s="7">
        <v>1</v>
      </c>
      <c r="AA66" s="7">
        <v>475</v>
      </c>
      <c r="AB66" s="7">
        <v>509</v>
      </c>
      <c r="AC66" s="7">
        <v>453</v>
      </c>
      <c r="AD66" s="7">
        <v>394</v>
      </c>
      <c r="AE66" s="7">
        <v>352</v>
      </c>
      <c r="AF66" s="7">
        <v>280</v>
      </c>
      <c r="AG66" s="7">
        <v>229</v>
      </c>
      <c r="AH66" s="7">
        <v>215</v>
      </c>
      <c r="AI66" s="7">
        <v>181</v>
      </c>
      <c r="AJ66" s="7">
        <v>160</v>
      </c>
      <c r="AK66" s="7">
        <v>157</v>
      </c>
      <c r="AL66" s="7">
        <v>130</v>
      </c>
      <c r="AM66" s="7">
        <v>119</v>
      </c>
      <c r="AN66" s="7">
        <v>268</v>
      </c>
      <c r="AO66" s="7">
        <v>3</v>
      </c>
      <c r="AP66">
        <v>7668</v>
      </c>
      <c r="AQ66">
        <v>27</v>
      </c>
      <c r="AR66">
        <v>10</v>
      </c>
      <c r="AS66">
        <v>72</v>
      </c>
      <c r="AT66">
        <v>16</v>
      </c>
      <c r="AU66" s="7">
        <v>148</v>
      </c>
      <c r="AV66" s="7">
        <v>97</v>
      </c>
      <c r="AW66" s="7">
        <v>51</v>
      </c>
      <c r="AX66" s="7">
        <v>259</v>
      </c>
      <c r="AY66" s="7">
        <v>148</v>
      </c>
      <c r="AZ66" s="7">
        <v>148</v>
      </c>
      <c r="BA66" s="7">
        <v>0</v>
      </c>
      <c r="BB66" s="7">
        <v>1184</v>
      </c>
      <c r="BC66" s="7">
        <v>0</v>
      </c>
      <c r="BD66" s="7">
        <v>0</v>
      </c>
      <c r="BE66" s="7">
        <v>0</v>
      </c>
      <c r="BF66" s="7">
        <v>1</v>
      </c>
      <c r="BG66" s="7">
        <v>0</v>
      </c>
      <c r="BH66" s="7">
        <v>2</v>
      </c>
      <c r="BI66" s="7">
        <v>2</v>
      </c>
      <c r="BJ66" s="7">
        <v>6</v>
      </c>
      <c r="BK66" s="7">
        <v>1</v>
      </c>
      <c r="BL66" s="7">
        <v>1</v>
      </c>
      <c r="BM66" s="7">
        <v>2</v>
      </c>
      <c r="BN66" s="7">
        <v>0</v>
      </c>
      <c r="BO66" s="7">
        <v>3</v>
      </c>
      <c r="BP66" s="7">
        <v>3</v>
      </c>
      <c r="BQ66" s="7">
        <v>2</v>
      </c>
      <c r="BR66" s="7">
        <v>4</v>
      </c>
      <c r="BS66" s="7">
        <v>2</v>
      </c>
      <c r="BT66" s="7">
        <v>4</v>
      </c>
      <c r="BU66" s="7">
        <v>0</v>
      </c>
      <c r="BV66" s="7">
        <v>8</v>
      </c>
      <c r="BW66" s="7">
        <v>2</v>
      </c>
      <c r="BX66" s="7">
        <v>6</v>
      </c>
      <c r="BY66" s="7">
        <v>4</v>
      </c>
      <c r="BZ66" s="7">
        <v>13</v>
      </c>
      <c r="CA66" s="7">
        <v>4</v>
      </c>
      <c r="CB66" s="7">
        <v>49</v>
      </c>
      <c r="CC66" s="7">
        <v>29</v>
      </c>
      <c r="CD66" s="7">
        <v>91</v>
      </c>
      <c r="CE66" s="7">
        <v>48</v>
      </c>
      <c r="CF66" s="7">
        <v>0</v>
      </c>
      <c r="CG66" s="7">
        <v>0</v>
      </c>
      <c r="CH66" s="7">
        <v>1224</v>
      </c>
      <c r="CI66" s="7">
        <v>237</v>
      </c>
      <c r="CJ66" s="7">
        <v>6807</v>
      </c>
      <c r="CK66" s="7">
        <v>983</v>
      </c>
      <c r="CL66" s="7">
        <v>64</v>
      </c>
      <c r="CM66" s="7">
        <v>137</v>
      </c>
      <c r="CN66" s="7">
        <v>193</v>
      </c>
      <c r="CO66" s="7">
        <v>212</v>
      </c>
      <c r="CP66" s="7">
        <v>251</v>
      </c>
      <c r="CQ66" s="7">
        <v>604</v>
      </c>
      <c r="CR66" s="7">
        <v>1138</v>
      </c>
      <c r="CS66" s="7">
        <v>3665</v>
      </c>
      <c r="CT66" s="7">
        <v>861</v>
      </c>
      <c r="CU66" s="7">
        <v>278</v>
      </c>
      <c r="CV66" s="7">
        <v>108</v>
      </c>
      <c r="CW66" s="7">
        <v>209</v>
      </c>
      <c r="CX66" s="7">
        <v>8</v>
      </c>
      <c r="CY66" s="7">
        <v>3849</v>
      </c>
      <c r="CZ66" s="7">
        <v>3448</v>
      </c>
      <c r="DA66" s="7">
        <v>51</v>
      </c>
      <c r="DB66" s="7">
        <v>64</v>
      </c>
      <c r="DC66" s="7">
        <v>0</v>
      </c>
      <c r="DD66" s="7">
        <v>3515</v>
      </c>
      <c r="DE66" s="7">
        <v>2017</v>
      </c>
      <c r="DF66" s="7">
        <v>2261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42</v>
      </c>
      <c r="DM66" s="7">
        <v>6</v>
      </c>
      <c r="DN66" s="7">
        <v>2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41</v>
      </c>
      <c r="DU66" s="7">
        <v>41</v>
      </c>
      <c r="DV66" s="7">
        <v>24</v>
      </c>
      <c r="DW66" s="7">
        <v>24</v>
      </c>
      <c r="DX66" s="7">
        <v>20</v>
      </c>
      <c r="DY66" s="7">
        <v>12</v>
      </c>
      <c r="DZ66" s="7">
        <v>12</v>
      </c>
      <c r="EA66" s="7">
        <v>6</v>
      </c>
      <c r="EB66" s="7">
        <v>9</v>
      </c>
      <c r="EC66" s="7">
        <v>1</v>
      </c>
      <c r="ED66" s="7">
        <v>7</v>
      </c>
      <c r="EE66" s="7">
        <v>0</v>
      </c>
      <c r="EF66" s="7">
        <v>17</v>
      </c>
      <c r="EG66" s="7">
        <v>7</v>
      </c>
      <c r="EH66" s="7">
        <v>53</v>
      </c>
      <c r="EI66" s="7">
        <v>28</v>
      </c>
      <c r="EJ66" s="7">
        <v>22</v>
      </c>
      <c r="EK66" s="7">
        <v>10</v>
      </c>
      <c r="EL66" s="7">
        <v>8</v>
      </c>
      <c r="EM66" s="7">
        <v>6</v>
      </c>
      <c r="EN66" s="7">
        <v>14</v>
      </c>
      <c r="EO66" s="7">
        <v>2018</v>
      </c>
      <c r="EP66" s="7">
        <v>1967</v>
      </c>
      <c r="EQ66" s="7">
        <v>51</v>
      </c>
      <c r="ER66" s="7">
        <v>592</v>
      </c>
      <c r="ES66" s="7">
        <v>289</v>
      </c>
      <c r="ET66" s="7">
        <v>278</v>
      </c>
      <c r="EU66" s="7">
        <v>11</v>
      </c>
      <c r="EV66" s="7">
        <v>2444</v>
      </c>
      <c r="EW66" s="134">
        <v>69.525862068999999</v>
      </c>
      <c r="EX66" s="134">
        <v>7.3706896551999996</v>
      </c>
      <c r="EY66" s="134">
        <v>5.7758620690000004</v>
      </c>
      <c r="EZ66" s="134">
        <v>17.068965516999999</v>
      </c>
      <c r="FA66" s="134">
        <v>0.25862068970000002</v>
      </c>
      <c r="FB66" s="7">
        <v>111</v>
      </c>
      <c r="FC66" s="7">
        <v>1553</v>
      </c>
      <c r="FD66" s="7">
        <v>61</v>
      </c>
      <c r="FE66" s="7">
        <v>331</v>
      </c>
      <c r="FF66" s="7">
        <v>0</v>
      </c>
      <c r="FG66" s="7">
        <v>122</v>
      </c>
      <c r="FH66" s="7">
        <v>125</v>
      </c>
      <c r="FI66" s="134">
        <v>75.646551724000005</v>
      </c>
      <c r="FJ66" s="134">
        <v>13.146551724</v>
      </c>
      <c r="FK66" s="134">
        <v>8.9655172414000006</v>
      </c>
      <c r="FL66" s="134">
        <v>2.2413793103000001</v>
      </c>
      <c r="FM66" s="151">
        <v>2468</v>
      </c>
      <c r="FN66" s="151">
        <v>1369</v>
      </c>
      <c r="FO66" s="7">
        <v>592</v>
      </c>
      <c r="FP66" s="7">
        <v>50</v>
      </c>
      <c r="FQ66" s="7">
        <v>5</v>
      </c>
      <c r="FR66" s="7">
        <v>0</v>
      </c>
      <c r="FS66" s="7">
        <v>1809</v>
      </c>
      <c r="FT66" s="7">
        <v>8</v>
      </c>
      <c r="FU66" s="7">
        <v>4</v>
      </c>
      <c r="FV66" s="7">
        <v>31</v>
      </c>
      <c r="FW66" s="7">
        <v>2598</v>
      </c>
      <c r="FX66" s="7">
        <v>1299</v>
      </c>
      <c r="FY66" s="7">
        <v>579</v>
      </c>
      <c r="FZ66" s="7">
        <v>55</v>
      </c>
      <c r="GA66" s="7">
        <v>9</v>
      </c>
      <c r="GB66" s="7">
        <v>0</v>
      </c>
      <c r="GC66" s="7">
        <v>1941</v>
      </c>
      <c r="GD66" s="7">
        <v>8</v>
      </c>
      <c r="GE66" s="7">
        <v>6</v>
      </c>
      <c r="GF66" s="7">
        <v>28</v>
      </c>
      <c r="GG66" s="7">
        <v>315</v>
      </c>
      <c r="GH66" s="7">
        <v>363</v>
      </c>
      <c r="GI66" s="7">
        <v>338</v>
      </c>
      <c r="GJ66" s="7">
        <v>239</v>
      </c>
      <c r="GK66" s="7">
        <v>155</v>
      </c>
      <c r="GL66" s="7">
        <v>138</v>
      </c>
      <c r="GM66" s="7">
        <v>129</v>
      </c>
      <c r="GN66" s="7">
        <v>134</v>
      </c>
      <c r="GO66" s="7">
        <v>117</v>
      </c>
      <c r="GP66" s="7">
        <v>99</v>
      </c>
      <c r="GQ66" s="7">
        <v>89</v>
      </c>
      <c r="GR66" s="7">
        <v>71</v>
      </c>
      <c r="GS66" s="7">
        <v>66</v>
      </c>
      <c r="GT66" s="7">
        <v>59</v>
      </c>
      <c r="GU66" s="7">
        <v>53</v>
      </c>
      <c r="GV66" s="7">
        <v>47</v>
      </c>
      <c r="GW66" s="7">
        <v>40</v>
      </c>
      <c r="GX66" s="7">
        <v>16</v>
      </c>
      <c r="GY66" s="7">
        <v>303</v>
      </c>
      <c r="GZ66" s="7">
        <v>330</v>
      </c>
      <c r="HA66" s="7">
        <v>305</v>
      </c>
      <c r="HB66" s="7">
        <v>257</v>
      </c>
      <c r="HC66" s="7">
        <v>215</v>
      </c>
      <c r="HD66" s="7">
        <v>195</v>
      </c>
      <c r="HE66" s="7">
        <v>153</v>
      </c>
      <c r="HF66" s="7">
        <v>158</v>
      </c>
      <c r="HG66" s="7">
        <v>119</v>
      </c>
      <c r="HH66" s="7">
        <v>107</v>
      </c>
      <c r="HI66" s="7">
        <v>108</v>
      </c>
      <c r="HJ66" s="7">
        <v>82</v>
      </c>
      <c r="HK66" s="7">
        <v>78</v>
      </c>
      <c r="HL66" s="7">
        <v>46</v>
      </c>
      <c r="HM66" s="7">
        <v>53</v>
      </c>
      <c r="HN66" s="7">
        <v>38</v>
      </c>
      <c r="HO66" s="7">
        <v>30</v>
      </c>
      <c r="HP66" s="7">
        <v>21</v>
      </c>
      <c r="HQ66" s="7">
        <v>1454</v>
      </c>
      <c r="HR66" s="7">
        <v>1</v>
      </c>
      <c r="HS66" s="7">
        <v>0</v>
      </c>
      <c r="HT66" s="7">
        <v>0</v>
      </c>
      <c r="HU66" s="7">
        <v>0</v>
      </c>
      <c r="HV66" s="7">
        <v>1</v>
      </c>
      <c r="HW66" s="7">
        <v>0</v>
      </c>
      <c r="HX66" s="7">
        <v>6</v>
      </c>
      <c r="HY66" s="7">
        <v>64</v>
      </c>
      <c r="HZ66" s="7">
        <v>137</v>
      </c>
      <c r="IA66" s="7">
        <v>193</v>
      </c>
      <c r="IB66" s="7">
        <v>212</v>
      </c>
      <c r="IC66" s="7">
        <v>251</v>
      </c>
      <c r="ID66" s="7">
        <v>200</v>
      </c>
      <c r="IE66" s="7">
        <v>125</v>
      </c>
      <c r="IF66" s="7">
        <v>89</v>
      </c>
      <c r="IG66" s="7">
        <v>189</v>
      </c>
      <c r="IH66" s="7">
        <v>77</v>
      </c>
      <c r="II66" s="7">
        <v>468</v>
      </c>
      <c r="IJ66" s="7">
        <v>509</v>
      </c>
      <c r="IK66" s="7">
        <v>272</v>
      </c>
      <c r="IL66" s="7">
        <v>81</v>
      </c>
      <c r="IM66" s="7">
        <v>30</v>
      </c>
      <c r="IN66" s="7">
        <v>3</v>
      </c>
      <c r="IO66" s="7">
        <v>10</v>
      </c>
      <c r="IP66" s="7">
        <v>1</v>
      </c>
      <c r="IQ66" s="7">
        <v>582</v>
      </c>
      <c r="IR66" s="7">
        <v>578</v>
      </c>
      <c r="IS66" s="7">
        <v>228</v>
      </c>
      <c r="IT66" s="7">
        <v>49</v>
      </c>
      <c r="IU66" s="7">
        <v>15</v>
      </c>
      <c r="IV66" s="7">
        <v>507</v>
      </c>
      <c r="IW66" s="7">
        <v>438</v>
      </c>
      <c r="IX66" s="7">
        <v>21</v>
      </c>
      <c r="IY66" s="7">
        <v>16</v>
      </c>
      <c r="IZ66" s="7">
        <v>20</v>
      </c>
      <c r="JA66" s="7">
        <v>448</v>
      </c>
      <c r="JB66" s="7">
        <v>401</v>
      </c>
      <c r="JC66" s="7">
        <v>785</v>
      </c>
      <c r="JD66" s="7">
        <v>36</v>
      </c>
      <c r="JE66" s="7">
        <v>46</v>
      </c>
      <c r="JF66" s="151">
        <v>1370.7894501913365</v>
      </c>
      <c r="JG66" s="151">
        <v>83.646476232772756</v>
      </c>
      <c r="JH66" s="7">
        <v>205</v>
      </c>
      <c r="JI66" s="7">
        <v>1201</v>
      </c>
      <c r="JJ66" s="7">
        <v>46</v>
      </c>
      <c r="JK66" s="7">
        <v>8</v>
      </c>
      <c r="JL66" s="7">
        <v>723</v>
      </c>
      <c r="JM66" s="7">
        <v>288</v>
      </c>
      <c r="JN66" s="7">
        <v>203</v>
      </c>
      <c r="JO66" s="7">
        <v>1168</v>
      </c>
      <c r="JP66" s="7">
        <v>1053</v>
      </c>
      <c r="JQ66" s="7">
        <v>38</v>
      </c>
      <c r="JR66" s="7">
        <v>98</v>
      </c>
      <c r="JS66" s="7">
        <v>455</v>
      </c>
      <c r="JT66" s="7">
        <v>6</v>
      </c>
      <c r="JU66" s="151">
        <v>57.764831120390156</v>
      </c>
      <c r="JV66" s="151">
        <v>1134.6663255790925</v>
      </c>
      <c r="JW66" s="151">
        <v>169.54353030140487</v>
      </c>
      <c r="JX66" s="151">
        <v>8.8147631904491472</v>
      </c>
      <c r="JY66" s="7">
        <v>1411</v>
      </c>
      <c r="JZ66" s="7">
        <v>7758</v>
      </c>
      <c r="KA66" s="7">
        <v>6</v>
      </c>
      <c r="KB66" s="7">
        <v>0</v>
      </c>
      <c r="KC66" s="7">
        <v>0</v>
      </c>
      <c r="KD66" s="7">
        <v>0</v>
      </c>
      <c r="KE66" s="7">
        <v>6</v>
      </c>
      <c r="KF66" s="7">
        <v>0</v>
      </c>
      <c r="KG66" s="7">
        <v>23</v>
      </c>
      <c r="KH66" s="7">
        <v>1185</v>
      </c>
      <c r="KI66" s="7">
        <v>6357</v>
      </c>
      <c r="KJ66" s="7">
        <v>214</v>
      </c>
      <c r="KK66" s="7">
        <v>28</v>
      </c>
      <c r="KL66" s="7">
        <v>308</v>
      </c>
      <c r="KM66" s="7">
        <v>6050</v>
      </c>
      <c r="KN66" s="7">
        <v>904</v>
      </c>
      <c r="KO66" s="7">
        <v>47</v>
      </c>
      <c r="KP66" s="7">
        <v>7309</v>
      </c>
      <c r="KQ66" s="7">
        <v>446</v>
      </c>
      <c r="KR66" s="7">
        <v>1216</v>
      </c>
      <c r="KS66" s="7">
        <v>1216</v>
      </c>
      <c r="KT66" s="7">
        <v>237</v>
      </c>
      <c r="KU66" s="7">
        <v>69</v>
      </c>
      <c r="KV66" s="7">
        <v>225</v>
      </c>
      <c r="KW66" s="7">
        <v>0</v>
      </c>
      <c r="KX66" s="7">
        <v>225</v>
      </c>
      <c r="KY66" s="7">
        <v>77</v>
      </c>
      <c r="KZ66" s="7">
        <v>184</v>
      </c>
      <c r="LA66" s="7">
        <v>0</v>
      </c>
      <c r="LB66" s="7">
        <v>724</v>
      </c>
      <c r="LC66" s="7">
        <v>694</v>
      </c>
      <c r="LD66" s="7">
        <v>187</v>
      </c>
      <c r="LE66" s="7">
        <v>404</v>
      </c>
      <c r="LF66" s="7">
        <v>4821</v>
      </c>
      <c r="LG66" s="7">
        <v>10</v>
      </c>
      <c r="LH66" s="7">
        <v>1483</v>
      </c>
      <c r="LI66" s="7">
        <v>115</v>
      </c>
      <c r="LJ66" s="7">
        <v>326</v>
      </c>
      <c r="LK66" s="7">
        <v>0</v>
      </c>
      <c r="LL66" s="7">
        <v>153</v>
      </c>
      <c r="LM66" s="7">
        <v>105</v>
      </c>
      <c r="LN66" s="7">
        <v>6</v>
      </c>
      <c r="LO66" s="7">
        <v>1464</v>
      </c>
      <c r="LP66" s="7">
        <v>104</v>
      </c>
      <c r="LQ66" s="7">
        <v>345</v>
      </c>
      <c r="LR66" s="7">
        <v>1</v>
      </c>
      <c r="LS66" s="7">
        <v>196</v>
      </c>
      <c r="LT66" s="7">
        <v>70</v>
      </c>
      <c r="LU66" s="232">
        <v>5.6755407654000001</v>
      </c>
      <c r="LV66" s="232">
        <v>5.8823024054999999</v>
      </c>
      <c r="LW66" s="232">
        <v>5.4814516128999999</v>
      </c>
      <c r="LX66" s="7">
        <v>1460</v>
      </c>
      <c r="LY66" s="7">
        <v>7784</v>
      </c>
    </row>
    <row r="67" spans="1:337" x14ac:dyDescent="0.25">
      <c r="A67" t="s">
        <v>144</v>
      </c>
      <c r="B67" t="s">
        <v>145</v>
      </c>
      <c r="C67" s="7">
        <v>24079</v>
      </c>
      <c r="D67">
        <v>26573</v>
      </c>
      <c r="F67">
        <f t="shared" ref="F67:F98" si="4">E67-D67</f>
        <v>-26573</v>
      </c>
      <c r="G67">
        <f t="shared" ref="G67:G98" si="5">E67/D67*100-100</f>
        <v>-100</v>
      </c>
      <c r="H67">
        <v>13165</v>
      </c>
      <c r="I67">
        <v>13408</v>
      </c>
      <c r="J67">
        <v>11098</v>
      </c>
      <c r="K67">
        <v>15475</v>
      </c>
      <c r="L67" s="7">
        <v>1334</v>
      </c>
      <c r="M67" s="7">
        <v>1379</v>
      </c>
      <c r="N67" s="7">
        <v>1455</v>
      </c>
      <c r="O67" s="7">
        <v>1471</v>
      </c>
      <c r="P67" s="7">
        <v>1045</v>
      </c>
      <c r="Q67" s="7">
        <v>809</v>
      </c>
      <c r="R67" s="7">
        <v>784</v>
      </c>
      <c r="S67" s="7">
        <v>872</v>
      </c>
      <c r="T67" s="7">
        <v>821</v>
      </c>
      <c r="U67" s="7">
        <v>705</v>
      </c>
      <c r="V67" s="7">
        <v>586</v>
      </c>
      <c r="W67" s="7">
        <v>498</v>
      </c>
      <c r="X67" s="7">
        <v>414</v>
      </c>
      <c r="Y67" s="7">
        <v>983</v>
      </c>
      <c r="Z67" s="7">
        <v>9</v>
      </c>
      <c r="AA67" s="7">
        <v>1342</v>
      </c>
      <c r="AB67" s="7">
        <v>1305</v>
      </c>
      <c r="AC67" s="7">
        <v>1314</v>
      </c>
      <c r="AD67" s="7">
        <v>1464</v>
      </c>
      <c r="AE67" s="7">
        <v>1177</v>
      </c>
      <c r="AF67" s="7">
        <v>994</v>
      </c>
      <c r="AG67" s="7">
        <v>965</v>
      </c>
      <c r="AH67" s="7">
        <v>988</v>
      </c>
      <c r="AI67" s="7">
        <v>774</v>
      </c>
      <c r="AJ67" s="7">
        <v>700</v>
      </c>
      <c r="AK67" s="7">
        <v>573</v>
      </c>
      <c r="AL67" s="7">
        <v>509</v>
      </c>
      <c r="AM67" s="7">
        <v>385</v>
      </c>
      <c r="AN67" s="7">
        <v>905</v>
      </c>
      <c r="AO67" s="7">
        <v>13</v>
      </c>
      <c r="AP67">
        <v>25076</v>
      </c>
      <c r="AQ67">
        <v>479</v>
      </c>
      <c r="AR67">
        <v>29</v>
      </c>
      <c r="AS67">
        <v>930</v>
      </c>
      <c r="AT67">
        <v>59</v>
      </c>
      <c r="AU67" s="7">
        <v>101</v>
      </c>
      <c r="AV67" s="7">
        <v>72</v>
      </c>
      <c r="AW67" s="7">
        <v>29</v>
      </c>
      <c r="AX67" s="7">
        <v>106</v>
      </c>
      <c r="AY67" s="7">
        <v>101</v>
      </c>
      <c r="AZ67" s="7">
        <v>41</v>
      </c>
      <c r="BA67" s="7">
        <v>60</v>
      </c>
      <c r="BB67" s="7">
        <v>3</v>
      </c>
      <c r="BC67" s="7">
        <v>0</v>
      </c>
      <c r="BD67" s="7">
        <v>3</v>
      </c>
      <c r="BE67" s="7">
        <v>2</v>
      </c>
      <c r="BF67" s="7">
        <v>2</v>
      </c>
      <c r="BG67" s="7">
        <v>4</v>
      </c>
      <c r="BH67" s="7">
        <v>13</v>
      </c>
      <c r="BI67" s="7">
        <v>6</v>
      </c>
      <c r="BJ67" s="7">
        <v>15</v>
      </c>
      <c r="BK67" s="7">
        <v>4</v>
      </c>
      <c r="BL67" s="7">
        <v>3</v>
      </c>
      <c r="BM67" s="7">
        <v>2</v>
      </c>
      <c r="BN67" s="7">
        <v>4</v>
      </c>
      <c r="BO67" s="7">
        <v>3</v>
      </c>
      <c r="BP67" s="7">
        <v>4</v>
      </c>
      <c r="BQ67" s="7">
        <v>3</v>
      </c>
      <c r="BR67" s="7">
        <v>6</v>
      </c>
      <c r="BS67" s="7">
        <v>1</v>
      </c>
      <c r="BT67" s="7">
        <v>2</v>
      </c>
      <c r="BU67" s="7">
        <v>0</v>
      </c>
      <c r="BV67" s="7">
        <v>4</v>
      </c>
      <c r="BW67" s="7">
        <v>0</v>
      </c>
      <c r="BX67" s="7">
        <v>5</v>
      </c>
      <c r="BY67" s="7">
        <v>1</v>
      </c>
      <c r="BZ67" s="7">
        <v>1</v>
      </c>
      <c r="CA67" s="7">
        <v>0</v>
      </c>
      <c r="CB67" s="7">
        <v>7</v>
      </c>
      <c r="CC67" s="7">
        <v>3</v>
      </c>
      <c r="CD67" s="7">
        <v>57</v>
      </c>
      <c r="CE67" s="7">
        <v>20</v>
      </c>
      <c r="CF67" s="7">
        <v>0</v>
      </c>
      <c r="CG67" s="7">
        <v>0</v>
      </c>
      <c r="CH67" s="7">
        <v>5462</v>
      </c>
      <c r="CI67" s="7">
        <v>1443</v>
      </c>
      <c r="CJ67" s="7">
        <v>21826</v>
      </c>
      <c r="CK67" s="7">
        <v>4738</v>
      </c>
      <c r="CL67" s="7">
        <v>686</v>
      </c>
      <c r="CM67" s="7">
        <v>1094</v>
      </c>
      <c r="CN67" s="7">
        <v>1311</v>
      </c>
      <c r="CO67" s="7">
        <v>1573</v>
      </c>
      <c r="CP67" s="7">
        <v>1105</v>
      </c>
      <c r="CQ67" s="7">
        <v>1136</v>
      </c>
      <c r="CR67" s="7">
        <v>4899</v>
      </c>
      <c r="CS67" s="7">
        <v>10697</v>
      </c>
      <c r="CT67" s="7">
        <v>2246</v>
      </c>
      <c r="CU67" s="7">
        <v>604</v>
      </c>
      <c r="CV67" s="7">
        <v>220</v>
      </c>
      <c r="CW67" s="7">
        <v>780</v>
      </c>
      <c r="CX67" s="7">
        <v>134</v>
      </c>
      <c r="CY67" s="7">
        <v>15710</v>
      </c>
      <c r="CZ67" s="7">
        <v>9455</v>
      </c>
      <c r="DA67" s="7">
        <v>335</v>
      </c>
      <c r="DB67" s="7">
        <v>686</v>
      </c>
      <c r="DC67" s="7">
        <v>67</v>
      </c>
      <c r="DD67" s="7">
        <v>3488</v>
      </c>
      <c r="DE67" s="7">
        <v>3062</v>
      </c>
      <c r="DF67" s="7">
        <v>8925</v>
      </c>
      <c r="DG67" s="7">
        <v>4260</v>
      </c>
      <c r="DH67" s="7">
        <v>6838</v>
      </c>
      <c r="DI67" s="7">
        <v>0</v>
      </c>
      <c r="DJ67" s="7">
        <v>0</v>
      </c>
      <c r="DK67" s="7">
        <v>0</v>
      </c>
      <c r="DL67" s="7">
        <v>108</v>
      </c>
      <c r="DM67" s="7">
        <v>8</v>
      </c>
      <c r="DN67" s="7">
        <v>11</v>
      </c>
      <c r="DO67" s="7">
        <v>1</v>
      </c>
      <c r="DP67" s="7">
        <v>1</v>
      </c>
      <c r="DQ67" s="7">
        <v>0</v>
      </c>
      <c r="DR67" s="7">
        <v>0</v>
      </c>
      <c r="DS67" s="7">
        <v>0</v>
      </c>
      <c r="DT67" s="7">
        <v>195</v>
      </c>
      <c r="DU67" s="7">
        <v>201</v>
      </c>
      <c r="DV67" s="7">
        <v>101</v>
      </c>
      <c r="DW67" s="7">
        <v>86</v>
      </c>
      <c r="DX67" s="7">
        <v>27</v>
      </c>
      <c r="DY67" s="7">
        <v>22</v>
      </c>
      <c r="DZ67" s="7">
        <v>45</v>
      </c>
      <c r="EA67" s="7">
        <v>38</v>
      </c>
      <c r="EB67" s="7">
        <v>10</v>
      </c>
      <c r="EC67" s="7">
        <v>8</v>
      </c>
      <c r="ED67" s="7">
        <v>12</v>
      </c>
      <c r="EE67" s="7">
        <v>12</v>
      </c>
      <c r="EF67" s="7">
        <v>51</v>
      </c>
      <c r="EG67" s="7">
        <v>38</v>
      </c>
      <c r="EH67" s="7">
        <v>300</v>
      </c>
      <c r="EI67" s="7">
        <v>134</v>
      </c>
      <c r="EJ67" s="7">
        <v>29</v>
      </c>
      <c r="EK67" s="7">
        <v>52</v>
      </c>
      <c r="EL67" s="7">
        <v>15</v>
      </c>
      <c r="EM67" s="7">
        <v>19</v>
      </c>
      <c r="EN67" s="7">
        <v>54</v>
      </c>
      <c r="EO67" s="7">
        <v>7479</v>
      </c>
      <c r="EP67" s="7">
        <v>7367</v>
      </c>
      <c r="EQ67" s="7">
        <v>112</v>
      </c>
      <c r="ER67" s="7">
        <v>2326</v>
      </c>
      <c r="ES67" s="7">
        <v>1881</v>
      </c>
      <c r="ET67" s="7">
        <v>1842</v>
      </c>
      <c r="EU67" s="7">
        <v>39</v>
      </c>
      <c r="EV67" s="7">
        <v>8339</v>
      </c>
      <c r="EW67" s="134">
        <v>44.875177592999997</v>
      </c>
      <c r="EX67" s="134">
        <v>12.248832961</v>
      </c>
      <c r="EY67" s="134">
        <v>18.885731682999999</v>
      </c>
      <c r="EZ67" s="134">
        <v>23.08707124</v>
      </c>
      <c r="FA67" s="134">
        <v>0.90318652320000004</v>
      </c>
      <c r="FB67" s="7">
        <v>1262</v>
      </c>
      <c r="FC67" s="7">
        <v>3585</v>
      </c>
      <c r="FD67" s="7">
        <v>375</v>
      </c>
      <c r="FE67" s="7">
        <v>1996</v>
      </c>
      <c r="FF67" s="7">
        <v>10</v>
      </c>
      <c r="FG67" s="7">
        <v>1338</v>
      </c>
      <c r="FH67" s="7">
        <v>771</v>
      </c>
      <c r="FI67" s="134">
        <v>33.072863812000001</v>
      </c>
      <c r="FJ67" s="134">
        <v>38.887761314999999</v>
      </c>
      <c r="FK67" s="134">
        <v>23.980109599999999</v>
      </c>
      <c r="FL67" s="134">
        <v>4.0592652730000003</v>
      </c>
      <c r="FM67" s="151">
        <v>8131</v>
      </c>
      <c r="FN67" s="151">
        <v>4998</v>
      </c>
      <c r="FO67" s="7">
        <v>1838</v>
      </c>
      <c r="FP67" s="7">
        <v>285</v>
      </c>
      <c r="FQ67" s="7">
        <v>92</v>
      </c>
      <c r="FR67" s="7">
        <v>63</v>
      </c>
      <c r="FS67" s="7">
        <v>5625</v>
      </c>
      <c r="FT67" s="7">
        <v>155</v>
      </c>
      <c r="FU67" s="7">
        <v>96</v>
      </c>
      <c r="FV67" s="7">
        <v>36</v>
      </c>
      <c r="FW67" s="7">
        <v>8849</v>
      </c>
      <c r="FX67" s="7">
        <v>4519</v>
      </c>
      <c r="FY67" s="7">
        <v>1933</v>
      </c>
      <c r="FZ67" s="7">
        <v>293</v>
      </c>
      <c r="GA67" s="7">
        <v>138</v>
      </c>
      <c r="GB67" s="7">
        <v>61</v>
      </c>
      <c r="GC67" s="7">
        <v>6219</v>
      </c>
      <c r="GD67" s="7">
        <v>138</v>
      </c>
      <c r="GE67" s="7">
        <v>96</v>
      </c>
      <c r="GF67" s="7">
        <v>40</v>
      </c>
      <c r="GG67" s="7">
        <v>795</v>
      </c>
      <c r="GH67" s="7">
        <v>855</v>
      </c>
      <c r="GI67" s="7">
        <v>972</v>
      </c>
      <c r="GJ67" s="7">
        <v>917</v>
      </c>
      <c r="GK67" s="7">
        <v>486</v>
      </c>
      <c r="GL67" s="7">
        <v>429</v>
      </c>
      <c r="GM67" s="7">
        <v>449</v>
      </c>
      <c r="GN67" s="7">
        <v>508</v>
      </c>
      <c r="GO67" s="7">
        <v>507</v>
      </c>
      <c r="GP67" s="7">
        <v>450</v>
      </c>
      <c r="GQ67" s="7">
        <v>393</v>
      </c>
      <c r="GR67" s="7">
        <v>328</v>
      </c>
      <c r="GS67" s="7">
        <v>292</v>
      </c>
      <c r="GT67" s="7">
        <v>266</v>
      </c>
      <c r="GU67" s="7">
        <v>189</v>
      </c>
      <c r="GV67" s="7">
        <v>130</v>
      </c>
      <c r="GW67" s="7">
        <v>91</v>
      </c>
      <c r="GX67" s="7">
        <v>72</v>
      </c>
      <c r="GY67" s="7">
        <v>762</v>
      </c>
      <c r="GZ67" s="7">
        <v>794</v>
      </c>
      <c r="HA67" s="7">
        <v>870</v>
      </c>
      <c r="HB67" s="7">
        <v>952</v>
      </c>
      <c r="HC67" s="7">
        <v>681</v>
      </c>
      <c r="HD67" s="7">
        <v>587</v>
      </c>
      <c r="HE67" s="7">
        <v>639</v>
      </c>
      <c r="HF67" s="7">
        <v>675</v>
      </c>
      <c r="HG67" s="7">
        <v>540</v>
      </c>
      <c r="HH67" s="7">
        <v>508</v>
      </c>
      <c r="HI67" s="7">
        <v>424</v>
      </c>
      <c r="HJ67" s="7">
        <v>388</v>
      </c>
      <c r="HK67" s="7">
        <v>302</v>
      </c>
      <c r="HL67" s="7">
        <v>249</v>
      </c>
      <c r="HM67" s="7">
        <v>185</v>
      </c>
      <c r="HN67" s="7">
        <v>140</v>
      </c>
      <c r="HO67" s="7">
        <v>78</v>
      </c>
      <c r="HP67" s="7">
        <v>71</v>
      </c>
      <c r="HQ67" s="7">
        <v>6857</v>
      </c>
      <c r="HR67" s="7">
        <v>0</v>
      </c>
      <c r="HS67" s="7">
        <v>17</v>
      </c>
      <c r="HT67" s="7">
        <v>0</v>
      </c>
      <c r="HU67" s="7">
        <v>0</v>
      </c>
      <c r="HV67" s="7">
        <v>5</v>
      </c>
      <c r="HW67" s="7">
        <v>0</v>
      </c>
      <c r="HX67" s="7">
        <v>29</v>
      </c>
      <c r="HY67" s="7">
        <v>685</v>
      </c>
      <c r="HZ67" s="7">
        <v>1093</v>
      </c>
      <c r="IA67" s="7">
        <v>1310</v>
      </c>
      <c r="IB67" s="7">
        <v>1573</v>
      </c>
      <c r="IC67" s="7">
        <v>1104</v>
      </c>
      <c r="ID67" s="7">
        <v>594</v>
      </c>
      <c r="IE67" s="7">
        <v>273</v>
      </c>
      <c r="IF67" s="7">
        <v>126</v>
      </c>
      <c r="IG67" s="7">
        <v>142</v>
      </c>
      <c r="IH67" s="7">
        <v>1416</v>
      </c>
      <c r="II67" s="7">
        <v>2195</v>
      </c>
      <c r="IJ67" s="7">
        <v>1733</v>
      </c>
      <c r="IK67" s="7">
        <v>943</v>
      </c>
      <c r="IL67" s="7">
        <v>345</v>
      </c>
      <c r="IM67" s="7">
        <v>176</v>
      </c>
      <c r="IN67" s="7">
        <v>34</v>
      </c>
      <c r="IO67" s="7">
        <v>22</v>
      </c>
      <c r="IP67" s="7">
        <v>11</v>
      </c>
      <c r="IQ67" s="7">
        <v>3815</v>
      </c>
      <c r="IR67" s="7">
        <v>2325</v>
      </c>
      <c r="IS67" s="7">
        <v>612</v>
      </c>
      <c r="IT67" s="7">
        <v>120</v>
      </c>
      <c r="IU67" s="7">
        <v>17</v>
      </c>
      <c r="IV67" s="7">
        <v>1201</v>
      </c>
      <c r="IW67" s="7">
        <v>313</v>
      </c>
      <c r="IX67" s="7">
        <v>299</v>
      </c>
      <c r="IY67" s="7">
        <v>59</v>
      </c>
      <c r="IZ67" s="7">
        <v>6</v>
      </c>
      <c r="JA67" s="7">
        <v>4988</v>
      </c>
      <c r="JB67" s="7">
        <v>2636</v>
      </c>
      <c r="JC67" s="7">
        <v>3713</v>
      </c>
      <c r="JD67" s="7">
        <v>5</v>
      </c>
      <c r="JE67" s="7">
        <v>0</v>
      </c>
      <c r="JF67" s="151">
        <v>6375.5063272877751</v>
      </c>
      <c r="JG67" s="151">
        <v>517.53712633546547</v>
      </c>
      <c r="JH67" s="7">
        <v>1662</v>
      </c>
      <c r="JI67" s="7">
        <v>4870</v>
      </c>
      <c r="JJ67" s="7">
        <v>346</v>
      </c>
      <c r="JK67" s="7">
        <v>22</v>
      </c>
      <c r="JL67" s="7">
        <v>4923</v>
      </c>
      <c r="JM67" s="7">
        <v>3260</v>
      </c>
      <c r="JN67" s="7">
        <v>1005</v>
      </c>
      <c r="JO67" s="7">
        <v>4653</v>
      </c>
      <c r="JP67" s="7">
        <v>6007</v>
      </c>
      <c r="JQ67" s="7">
        <v>369</v>
      </c>
      <c r="JR67" s="7">
        <v>867</v>
      </c>
      <c r="JS67" s="7">
        <v>2009</v>
      </c>
      <c r="JT67" s="7">
        <v>149</v>
      </c>
      <c r="JU67" s="151">
        <v>336.88001794613922</v>
      </c>
      <c r="JV67" s="151">
        <v>5899.0394500537686</v>
      </c>
      <c r="JW67" s="151">
        <v>121.65111759166139</v>
      </c>
      <c r="JX67" s="151">
        <v>17.935741696206488</v>
      </c>
      <c r="JY67" s="7">
        <v>6738</v>
      </c>
      <c r="JZ67" s="7">
        <v>26372</v>
      </c>
      <c r="KA67" s="7">
        <v>0</v>
      </c>
      <c r="KB67" s="7">
        <v>60</v>
      </c>
      <c r="KC67" s="7">
        <v>0</v>
      </c>
      <c r="KD67" s="7">
        <v>0</v>
      </c>
      <c r="KE67" s="7">
        <v>17</v>
      </c>
      <c r="KF67" s="7">
        <v>0</v>
      </c>
      <c r="KG67" s="7">
        <v>124</v>
      </c>
      <c r="KH67" s="7">
        <v>6481</v>
      </c>
      <c r="KI67" s="7">
        <v>18638</v>
      </c>
      <c r="KJ67" s="7">
        <v>1345</v>
      </c>
      <c r="KK67" s="7">
        <v>83</v>
      </c>
      <c r="KL67" s="7">
        <v>1296</v>
      </c>
      <c r="KM67" s="7">
        <v>22694</v>
      </c>
      <c r="KN67" s="7">
        <v>468</v>
      </c>
      <c r="KO67" s="7">
        <v>69</v>
      </c>
      <c r="KP67" s="7">
        <v>24527</v>
      </c>
      <c r="KQ67" s="7">
        <v>1991</v>
      </c>
      <c r="KR67" s="7">
        <v>3792</v>
      </c>
      <c r="KS67" s="7">
        <v>3792</v>
      </c>
      <c r="KT67" s="7">
        <v>632</v>
      </c>
      <c r="KU67" s="7">
        <v>247</v>
      </c>
      <c r="KV67" s="7">
        <v>753</v>
      </c>
      <c r="KW67" s="7">
        <v>0</v>
      </c>
      <c r="KX67" s="7">
        <v>556</v>
      </c>
      <c r="KY67" s="7">
        <v>242</v>
      </c>
      <c r="KZ67" s="7">
        <v>730</v>
      </c>
      <c r="LA67" s="7">
        <v>2</v>
      </c>
      <c r="LB67" s="7">
        <v>2053</v>
      </c>
      <c r="LC67" s="7">
        <v>1947</v>
      </c>
      <c r="LD67" s="7">
        <v>1193</v>
      </c>
      <c r="LE67" s="7">
        <v>1705</v>
      </c>
      <c r="LF67" s="7">
        <v>18422</v>
      </c>
      <c r="LG67" s="7">
        <v>29</v>
      </c>
      <c r="LH67" s="7">
        <v>3256</v>
      </c>
      <c r="LI67" s="7">
        <v>543</v>
      </c>
      <c r="LJ67" s="7">
        <v>1840</v>
      </c>
      <c r="LK67" s="7">
        <v>9</v>
      </c>
      <c r="LL67" s="7">
        <v>1463</v>
      </c>
      <c r="LM67" s="7">
        <v>622</v>
      </c>
      <c r="LN67" s="7">
        <v>36</v>
      </c>
      <c r="LO67" s="7">
        <v>3334</v>
      </c>
      <c r="LP67" s="7">
        <v>551</v>
      </c>
      <c r="LQ67" s="7">
        <v>1935</v>
      </c>
      <c r="LR67" s="7">
        <v>9</v>
      </c>
      <c r="LS67" s="7">
        <v>1332</v>
      </c>
      <c r="LT67" s="7">
        <v>552</v>
      </c>
      <c r="LU67" s="232">
        <v>6.5670209866000002</v>
      </c>
      <c r="LV67" s="232">
        <v>6.7921831379000004</v>
      </c>
      <c r="LW67" s="232">
        <v>6.3522896699000002</v>
      </c>
      <c r="LX67" s="7">
        <v>6900</v>
      </c>
      <c r="LY67" s="7">
        <v>26547</v>
      </c>
    </row>
    <row r="68" spans="1:337" x14ac:dyDescent="0.25">
      <c r="A68" t="s">
        <v>146</v>
      </c>
      <c r="B68" t="s">
        <v>147</v>
      </c>
      <c r="C68" s="7">
        <v>4794</v>
      </c>
      <c r="D68">
        <v>5033</v>
      </c>
      <c r="F68">
        <f t="shared" si="4"/>
        <v>-5033</v>
      </c>
      <c r="G68">
        <f t="shared" si="5"/>
        <v>-100</v>
      </c>
      <c r="H68">
        <v>2432</v>
      </c>
      <c r="I68">
        <v>2601</v>
      </c>
      <c r="J68">
        <v>2610</v>
      </c>
      <c r="K68">
        <v>2423</v>
      </c>
      <c r="L68" s="7">
        <v>224</v>
      </c>
      <c r="M68" s="7">
        <v>285</v>
      </c>
      <c r="N68" s="7">
        <v>287</v>
      </c>
      <c r="O68" s="7">
        <v>257</v>
      </c>
      <c r="P68" s="7">
        <v>199</v>
      </c>
      <c r="Q68" s="7">
        <v>162</v>
      </c>
      <c r="R68" s="7">
        <v>149</v>
      </c>
      <c r="S68" s="7">
        <v>144</v>
      </c>
      <c r="T68" s="7">
        <v>148</v>
      </c>
      <c r="U68" s="7">
        <v>134</v>
      </c>
      <c r="V68" s="7">
        <v>111</v>
      </c>
      <c r="W68" s="7">
        <v>93</v>
      </c>
      <c r="X68" s="7">
        <v>87</v>
      </c>
      <c r="Y68" s="7">
        <v>150</v>
      </c>
      <c r="Z68" s="7">
        <v>2</v>
      </c>
      <c r="AA68" s="7">
        <v>236</v>
      </c>
      <c r="AB68" s="7">
        <v>258</v>
      </c>
      <c r="AC68" s="7">
        <v>275</v>
      </c>
      <c r="AD68" s="7">
        <v>248</v>
      </c>
      <c r="AE68" s="7">
        <v>226</v>
      </c>
      <c r="AF68" s="7">
        <v>210</v>
      </c>
      <c r="AG68" s="7">
        <v>191</v>
      </c>
      <c r="AH68" s="7">
        <v>182</v>
      </c>
      <c r="AI68" s="7">
        <v>179</v>
      </c>
      <c r="AJ68" s="7">
        <v>143</v>
      </c>
      <c r="AK68" s="7">
        <v>109</v>
      </c>
      <c r="AL68" s="7">
        <v>98</v>
      </c>
      <c r="AM68" s="7">
        <v>73</v>
      </c>
      <c r="AN68" s="7">
        <v>171</v>
      </c>
      <c r="AO68" s="7">
        <v>2</v>
      </c>
      <c r="AP68">
        <v>4842</v>
      </c>
      <c r="AQ68">
        <v>91</v>
      </c>
      <c r="AR68">
        <v>4</v>
      </c>
      <c r="AS68">
        <v>88</v>
      </c>
      <c r="AT68">
        <v>8</v>
      </c>
      <c r="AU68" s="7">
        <v>4</v>
      </c>
      <c r="AV68" s="7">
        <v>2</v>
      </c>
      <c r="AW68" s="7">
        <v>2</v>
      </c>
      <c r="AX68" s="7">
        <v>20</v>
      </c>
      <c r="AY68" s="7">
        <v>4</v>
      </c>
      <c r="AZ68" s="7">
        <v>2</v>
      </c>
      <c r="BA68" s="7">
        <v>2</v>
      </c>
      <c r="BB68" s="7">
        <v>3</v>
      </c>
      <c r="BC68" s="7">
        <v>0</v>
      </c>
      <c r="BD68" s="7">
        <v>0</v>
      </c>
      <c r="BE68" s="7">
        <v>0</v>
      </c>
      <c r="BF68" s="7">
        <v>0</v>
      </c>
      <c r="BG68" s="7">
        <v>1</v>
      </c>
      <c r="BH68" s="7">
        <v>1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1</v>
      </c>
      <c r="BP68" s="7">
        <v>0</v>
      </c>
      <c r="BQ68" s="7">
        <v>0</v>
      </c>
      <c r="BR68" s="7">
        <v>0</v>
      </c>
      <c r="BS68" s="7">
        <v>0</v>
      </c>
      <c r="BT68" s="7">
        <v>1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1</v>
      </c>
      <c r="CE68" s="7">
        <v>0</v>
      </c>
      <c r="CF68" s="7">
        <v>0</v>
      </c>
      <c r="CG68" s="7">
        <v>0</v>
      </c>
      <c r="CH68" s="7">
        <v>958</v>
      </c>
      <c r="CI68" s="7">
        <v>304</v>
      </c>
      <c r="CJ68" s="7">
        <v>3942</v>
      </c>
      <c r="CK68" s="7">
        <v>1091</v>
      </c>
      <c r="CL68" s="7">
        <v>101</v>
      </c>
      <c r="CM68" s="7">
        <v>201</v>
      </c>
      <c r="CN68" s="7">
        <v>215</v>
      </c>
      <c r="CO68" s="7">
        <v>300</v>
      </c>
      <c r="CP68" s="7">
        <v>219</v>
      </c>
      <c r="CQ68" s="7">
        <v>226</v>
      </c>
      <c r="CR68" s="7">
        <v>874</v>
      </c>
      <c r="CS68" s="7">
        <v>2074</v>
      </c>
      <c r="CT68" s="7">
        <v>461</v>
      </c>
      <c r="CU68" s="7">
        <v>122</v>
      </c>
      <c r="CV68" s="7">
        <v>42</v>
      </c>
      <c r="CW68" s="7">
        <v>154</v>
      </c>
      <c r="CX68" s="7">
        <v>20</v>
      </c>
      <c r="CY68" s="7">
        <v>2823</v>
      </c>
      <c r="CZ68" s="7">
        <v>1908</v>
      </c>
      <c r="DA68" s="7">
        <v>87</v>
      </c>
      <c r="DB68" s="7">
        <v>101</v>
      </c>
      <c r="DC68" s="7">
        <v>0</v>
      </c>
      <c r="DD68" s="7">
        <v>1</v>
      </c>
      <c r="DE68" s="7">
        <v>797</v>
      </c>
      <c r="DF68" s="7">
        <v>1625</v>
      </c>
      <c r="DG68" s="7">
        <v>2610</v>
      </c>
      <c r="DH68" s="7">
        <v>0</v>
      </c>
      <c r="DI68" s="7">
        <v>0</v>
      </c>
      <c r="DJ68" s="7">
        <v>0</v>
      </c>
      <c r="DK68" s="7">
        <v>0</v>
      </c>
      <c r="DL68" s="7">
        <v>1</v>
      </c>
      <c r="DM68" s="7">
        <v>2</v>
      </c>
      <c r="DN68" s="7">
        <v>3</v>
      </c>
      <c r="DO68" s="7">
        <v>1</v>
      </c>
      <c r="DP68" s="7">
        <v>0</v>
      </c>
      <c r="DQ68" s="7">
        <v>0</v>
      </c>
      <c r="DR68" s="7">
        <v>0</v>
      </c>
      <c r="DS68" s="7">
        <v>0</v>
      </c>
      <c r="DT68" s="7">
        <v>67</v>
      </c>
      <c r="DU68" s="7">
        <v>43</v>
      </c>
      <c r="DV68" s="7">
        <v>19</v>
      </c>
      <c r="DW68" s="7">
        <v>15</v>
      </c>
      <c r="DX68" s="7">
        <v>9</v>
      </c>
      <c r="DY68" s="7">
        <v>7</v>
      </c>
      <c r="DZ68" s="7">
        <v>11</v>
      </c>
      <c r="EA68" s="7">
        <v>8</v>
      </c>
      <c r="EB68" s="7">
        <v>5</v>
      </c>
      <c r="EC68" s="7">
        <v>4</v>
      </c>
      <c r="ED68" s="7">
        <v>1</v>
      </c>
      <c r="EE68" s="7">
        <v>1</v>
      </c>
      <c r="EF68" s="7">
        <v>7</v>
      </c>
      <c r="EG68" s="7">
        <v>5</v>
      </c>
      <c r="EH68" s="7">
        <v>75</v>
      </c>
      <c r="EI68" s="7">
        <v>20</v>
      </c>
      <c r="EJ68" s="7">
        <v>5</v>
      </c>
      <c r="EK68" s="7">
        <v>12</v>
      </c>
      <c r="EL68" s="7">
        <v>5</v>
      </c>
      <c r="EM68" s="7">
        <v>2</v>
      </c>
      <c r="EN68" s="7">
        <v>7</v>
      </c>
      <c r="EO68" s="7">
        <v>1252</v>
      </c>
      <c r="EP68" s="7">
        <v>1174</v>
      </c>
      <c r="EQ68" s="7">
        <v>78</v>
      </c>
      <c r="ER68" s="7">
        <v>523</v>
      </c>
      <c r="ES68" s="7">
        <v>455</v>
      </c>
      <c r="ET68" s="7">
        <v>429</v>
      </c>
      <c r="EU68" s="7">
        <v>26</v>
      </c>
      <c r="EV68" s="7">
        <v>1522</v>
      </c>
      <c r="EW68" s="134">
        <v>29.465449803999999</v>
      </c>
      <c r="EX68" s="134">
        <v>14.863102999000001</v>
      </c>
      <c r="EY68" s="134">
        <v>14.08083442</v>
      </c>
      <c r="EZ68" s="134">
        <v>41.069100390999999</v>
      </c>
      <c r="FA68" s="134">
        <v>0.52151238590000004</v>
      </c>
      <c r="FB68" s="7">
        <v>194</v>
      </c>
      <c r="FC68" s="7">
        <v>532</v>
      </c>
      <c r="FD68" s="7">
        <v>41</v>
      </c>
      <c r="FE68" s="7">
        <v>366</v>
      </c>
      <c r="FF68" s="7">
        <v>6</v>
      </c>
      <c r="FG68" s="7">
        <v>383</v>
      </c>
      <c r="FH68" s="7">
        <v>182</v>
      </c>
      <c r="FI68" s="134">
        <v>27.966101694999999</v>
      </c>
      <c r="FJ68" s="134">
        <v>32.398956974999997</v>
      </c>
      <c r="FK68" s="134">
        <v>32.138200781999998</v>
      </c>
      <c r="FL68" s="134">
        <v>7.4967405476</v>
      </c>
      <c r="FM68" s="151">
        <v>1514</v>
      </c>
      <c r="FN68" s="151">
        <v>914</v>
      </c>
      <c r="FO68" s="7">
        <v>413</v>
      </c>
      <c r="FP68" s="7">
        <v>158</v>
      </c>
      <c r="FQ68" s="7">
        <v>4</v>
      </c>
      <c r="FR68" s="7">
        <v>41</v>
      </c>
      <c r="FS68" s="7">
        <v>547</v>
      </c>
      <c r="FT68" s="7">
        <v>101</v>
      </c>
      <c r="FU68" s="7">
        <v>257</v>
      </c>
      <c r="FV68" s="7">
        <v>4</v>
      </c>
      <c r="FW68" s="7">
        <v>1692</v>
      </c>
      <c r="FX68" s="7">
        <v>900</v>
      </c>
      <c r="FY68" s="7">
        <v>428</v>
      </c>
      <c r="FZ68" s="7">
        <v>181</v>
      </c>
      <c r="GA68" s="7">
        <v>6</v>
      </c>
      <c r="GB68" s="7">
        <v>31</v>
      </c>
      <c r="GC68" s="7">
        <v>684</v>
      </c>
      <c r="GD68" s="7">
        <v>105</v>
      </c>
      <c r="GE68" s="7">
        <v>261</v>
      </c>
      <c r="GF68" s="7">
        <v>9</v>
      </c>
      <c r="GG68" s="7">
        <v>150</v>
      </c>
      <c r="GH68" s="7">
        <v>177</v>
      </c>
      <c r="GI68" s="7">
        <v>185</v>
      </c>
      <c r="GJ68" s="7">
        <v>151</v>
      </c>
      <c r="GK68" s="7">
        <v>115</v>
      </c>
      <c r="GL68" s="7">
        <v>87</v>
      </c>
      <c r="GM68" s="7">
        <v>89</v>
      </c>
      <c r="GN68" s="7">
        <v>99</v>
      </c>
      <c r="GO68" s="7">
        <v>93</v>
      </c>
      <c r="GP68" s="7">
        <v>80</v>
      </c>
      <c r="GQ68" s="7">
        <v>71</v>
      </c>
      <c r="GR68" s="7">
        <v>55</v>
      </c>
      <c r="GS68" s="7">
        <v>56</v>
      </c>
      <c r="GT68" s="7">
        <v>36</v>
      </c>
      <c r="GU68" s="7">
        <v>26</v>
      </c>
      <c r="GV68" s="7">
        <v>27</v>
      </c>
      <c r="GW68" s="7">
        <v>8</v>
      </c>
      <c r="GX68" s="7">
        <v>8</v>
      </c>
      <c r="GY68" s="7">
        <v>130</v>
      </c>
      <c r="GZ68" s="7">
        <v>179</v>
      </c>
      <c r="HA68" s="7">
        <v>185</v>
      </c>
      <c r="HB68" s="7">
        <v>156</v>
      </c>
      <c r="HC68" s="7">
        <v>140</v>
      </c>
      <c r="HD68" s="7">
        <v>127</v>
      </c>
      <c r="HE68" s="7">
        <v>118</v>
      </c>
      <c r="HF68" s="7">
        <v>122</v>
      </c>
      <c r="HG68" s="7">
        <v>124</v>
      </c>
      <c r="HH68" s="7">
        <v>99</v>
      </c>
      <c r="HI68" s="7">
        <v>73</v>
      </c>
      <c r="HJ68" s="7">
        <v>61</v>
      </c>
      <c r="HK68" s="7">
        <v>54</v>
      </c>
      <c r="HL68" s="7">
        <v>30</v>
      </c>
      <c r="HM68" s="7">
        <v>45</v>
      </c>
      <c r="HN68" s="7">
        <v>28</v>
      </c>
      <c r="HO68" s="7">
        <v>7</v>
      </c>
      <c r="HP68" s="7">
        <v>12</v>
      </c>
      <c r="HQ68" s="7">
        <v>1258</v>
      </c>
      <c r="HR68" s="7">
        <v>0</v>
      </c>
      <c r="HS68" s="7">
        <v>0</v>
      </c>
      <c r="HT68" s="7">
        <v>0</v>
      </c>
      <c r="HU68" s="7">
        <v>0</v>
      </c>
      <c r="HV68" s="7">
        <v>0</v>
      </c>
      <c r="HW68" s="7">
        <v>0</v>
      </c>
      <c r="HX68" s="7">
        <v>4</v>
      </c>
      <c r="HY68" s="7">
        <v>101</v>
      </c>
      <c r="HZ68" s="7">
        <v>201</v>
      </c>
      <c r="IA68" s="7">
        <v>215</v>
      </c>
      <c r="IB68" s="7">
        <v>300</v>
      </c>
      <c r="IC68" s="7">
        <v>219</v>
      </c>
      <c r="ID68" s="7">
        <v>120</v>
      </c>
      <c r="IE68" s="7">
        <v>49</v>
      </c>
      <c r="IF68" s="7">
        <v>27</v>
      </c>
      <c r="IG68" s="7">
        <v>30</v>
      </c>
      <c r="IH68" s="7">
        <v>178</v>
      </c>
      <c r="II68" s="7">
        <v>285</v>
      </c>
      <c r="IJ68" s="7">
        <v>332</v>
      </c>
      <c r="IK68" s="7">
        <v>251</v>
      </c>
      <c r="IL68" s="7">
        <v>136</v>
      </c>
      <c r="IM68" s="7">
        <v>51</v>
      </c>
      <c r="IN68" s="7">
        <v>9</v>
      </c>
      <c r="IO68" s="7">
        <v>3</v>
      </c>
      <c r="IP68" s="7">
        <v>5</v>
      </c>
      <c r="IQ68" s="7">
        <v>510</v>
      </c>
      <c r="IR68" s="7">
        <v>477</v>
      </c>
      <c r="IS68" s="7">
        <v>213</v>
      </c>
      <c r="IT68" s="7">
        <v>42</v>
      </c>
      <c r="IU68" s="7">
        <v>8</v>
      </c>
      <c r="IV68" s="7">
        <v>655</v>
      </c>
      <c r="IW68" s="7">
        <v>180</v>
      </c>
      <c r="IX68" s="7">
        <v>2</v>
      </c>
      <c r="IY68" s="7">
        <v>10</v>
      </c>
      <c r="IZ68" s="7">
        <v>1</v>
      </c>
      <c r="JA68" s="7">
        <v>407</v>
      </c>
      <c r="JB68" s="7">
        <v>560</v>
      </c>
      <c r="JC68" s="7">
        <v>516</v>
      </c>
      <c r="JD68" s="7">
        <v>0</v>
      </c>
      <c r="JE68" s="7">
        <v>121</v>
      </c>
      <c r="JF68" s="151">
        <v>1217.3674072506453</v>
      </c>
      <c r="JG68" s="151">
        <v>37.361018265776757</v>
      </c>
      <c r="JH68" s="7">
        <v>203</v>
      </c>
      <c r="JI68" s="7">
        <v>949</v>
      </c>
      <c r="JJ68" s="7">
        <v>97</v>
      </c>
      <c r="JK68" s="7">
        <v>13</v>
      </c>
      <c r="JL68" s="7">
        <v>982</v>
      </c>
      <c r="JM68" s="7">
        <v>459</v>
      </c>
      <c r="JN68" s="7">
        <v>235</v>
      </c>
      <c r="JO68" s="7">
        <v>930</v>
      </c>
      <c r="JP68" s="7">
        <v>1116</v>
      </c>
      <c r="JQ68" s="7">
        <v>105</v>
      </c>
      <c r="JR68" s="7">
        <v>141</v>
      </c>
      <c r="JS68" s="7">
        <v>495</v>
      </c>
      <c r="JT68" s="7">
        <v>57</v>
      </c>
      <c r="JU68" s="151">
        <v>131.13968156376674</v>
      </c>
      <c r="JV68" s="151">
        <v>1053.3801190236788</v>
      </c>
      <c r="JW68" s="151">
        <v>30.59090086191117</v>
      </c>
      <c r="JX68" s="151">
        <v>2.256705801288529</v>
      </c>
      <c r="JY68" s="7">
        <v>1229</v>
      </c>
      <c r="JZ68" s="7">
        <v>5014</v>
      </c>
      <c r="KA68" s="7">
        <v>0</v>
      </c>
      <c r="KB68" s="7">
        <v>0</v>
      </c>
      <c r="KC68" s="7">
        <v>0</v>
      </c>
      <c r="KD68" s="7">
        <v>0</v>
      </c>
      <c r="KE68" s="7">
        <v>0</v>
      </c>
      <c r="KF68" s="7">
        <v>0</v>
      </c>
      <c r="KG68" s="7">
        <v>19</v>
      </c>
      <c r="KH68" s="7">
        <v>794</v>
      </c>
      <c r="KI68" s="7">
        <v>3794</v>
      </c>
      <c r="KJ68" s="7">
        <v>377</v>
      </c>
      <c r="KK68" s="7">
        <v>68</v>
      </c>
      <c r="KL68" s="7">
        <v>523</v>
      </c>
      <c r="KM68" s="7">
        <v>4201</v>
      </c>
      <c r="KN68" s="7">
        <v>122</v>
      </c>
      <c r="KO68" s="7">
        <v>9</v>
      </c>
      <c r="KP68" s="7">
        <v>4855</v>
      </c>
      <c r="KQ68" s="7">
        <v>149</v>
      </c>
      <c r="KR68" s="7">
        <v>785</v>
      </c>
      <c r="KS68" s="7">
        <v>785</v>
      </c>
      <c r="KT68" s="7">
        <v>145</v>
      </c>
      <c r="KU68" s="7">
        <v>54</v>
      </c>
      <c r="KV68" s="7">
        <v>144</v>
      </c>
      <c r="KW68" s="7">
        <v>0</v>
      </c>
      <c r="KX68" s="7">
        <v>125</v>
      </c>
      <c r="KY68" s="7">
        <v>40</v>
      </c>
      <c r="KZ68" s="7">
        <v>154</v>
      </c>
      <c r="LA68" s="7">
        <v>0</v>
      </c>
      <c r="LB68" s="7">
        <v>435</v>
      </c>
      <c r="LC68" s="7">
        <v>417</v>
      </c>
      <c r="LD68" s="7">
        <v>176</v>
      </c>
      <c r="LE68" s="7">
        <v>309</v>
      </c>
      <c r="LF68" s="7">
        <v>3464</v>
      </c>
      <c r="LG68" s="7">
        <v>20</v>
      </c>
      <c r="LH68" s="7">
        <v>487</v>
      </c>
      <c r="LI68" s="7">
        <v>86</v>
      </c>
      <c r="LJ68" s="7">
        <v>325</v>
      </c>
      <c r="LK68" s="7">
        <v>2</v>
      </c>
      <c r="LL68" s="7">
        <v>391</v>
      </c>
      <c r="LM68" s="7">
        <v>139</v>
      </c>
      <c r="LN68" s="7">
        <v>10</v>
      </c>
      <c r="LO68" s="7">
        <v>589</v>
      </c>
      <c r="LP68" s="7">
        <v>87</v>
      </c>
      <c r="LQ68" s="7">
        <v>329</v>
      </c>
      <c r="LR68" s="7">
        <v>8</v>
      </c>
      <c r="LS68" s="7">
        <v>324</v>
      </c>
      <c r="LT68" s="7">
        <v>145</v>
      </c>
      <c r="LU68" s="232">
        <v>7.1511997686999997</v>
      </c>
      <c r="LV68" s="232">
        <v>7.6289038579000001</v>
      </c>
      <c r="LW68" s="232">
        <v>6.7239868564999998</v>
      </c>
      <c r="LX68" s="7">
        <v>1262</v>
      </c>
      <c r="LY68" s="7">
        <v>5033</v>
      </c>
    </row>
    <row r="69" spans="1:337" x14ac:dyDescent="0.25">
      <c r="A69" t="s">
        <v>282</v>
      </c>
      <c r="B69" t="s">
        <v>283</v>
      </c>
      <c r="C69" s="7" t="s">
        <v>390</v>
      </c>
      <c r="D69" t="s">
        <v>358</v>
      </c>
      <c r="F69" t="e">
        <f t="shared" si="4"/>
        <v>#VALUE!</v>
      </c>
      <c r="G69" t="e">
        <f t="shared" si="5"/>
        <v>#VALUE!</v>
      </c>
      <c r="H69" t="s">
        <v>358</v>
      </c>
      <c r="I69" t="s">
        <v>358</v>
      </c>
      <c r="J69" t="s">
        <v>358</v>
      </c>
      <c r="K69" t="s">
        <v>358</v>
      </c>
      <c r="AP69" t="s">
        <v>358</v>
      </c>
      <c r="AQ69" t="s">
        <v>358</v>
      </c>
      <c r="AR69" t="s">
        <v>358</v>
      </c>
      <c r="AS69" t="s">
        <v>358</v>
      </c>
      <c r="AT69" t="s">
        <v>358</v>
      </c>
      <c r="AU69" s="7">
        <v>0</v>
      </c>
      <c r="AV69" s="7">
        <v>0</v>
      </c>
      <c r="AW69" s="7">
        <v>0</v>
      </c>
      <c r="AX69" s="7" t="s">
        <v>390</v>
      </c>
      <c r="AY69" s="7" t="s">
        <v>390</v>
      </c>
      <c r="AZ69" s="7" t="s">
        <v>390</v>
      </c>
      <c r="BA69" s="7" t="s">
        <v>390</v>
      </c>
      <c r="BB69" s="7">
        <v>103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>
        <v>0</v>
      </c>
      <c r="EJ69" s="7">
        <v>0</v>
      </c>
      <c r="EK69" s="7">
        <v>0</v>
      </c>
      <c r="EL69" s="7">
        <v>0</v>
      </c>
      <c r="EM69" s="7">
        <v>0</v>
      </c>
      <c r="EN69" s="7">
        <v>0</v>
      </c>
      <c r="EO69" s="7">
        <v>0</v>
      </c>
      <c r="EP69" s="7">
        <v>0</v>
      </c>
      <c r="EQ69" s="7">
        <v>0</v>
      </c>
      <c r="ER69" s="7">
        <v>0</v>
      </c>
      <c r="ES69" s="7">
        <v>0</v>
      </c>
      <c r="ET69" s="7">
        <v>0</v>
      </c>
      <c r="EU69" s="7">
        <v>0</v>
      </c>
      <c r="EV69" s="7">
        <v>0</v>
      </c>
      <c r="EW69" s="134">
        <v>0</v>
      </c>
      <c r="EX69" s="134">
        <v>0</v>
      </c>
      <c r="EY69" s="134">
        <v>0</v>
      </c>
      <c r="EZ69" s="134">
        <v>0</v>
      </c>
      <c r="FA69" s="134">
        <v>0</v>
      </c>
      <c r="FB69" s="7">
        <v>0</v>
      </c>
      <c r="FC69" s="7">
        <v>0</v>
      </c>
      <c r="FD69" s="7">
        <v>0</v>
      </c>
      <c r="FE69" s="7">
        <v>0</v>
      </c>
      <c r="FF69" s="7">
        <v>0</v>
      </c>
      <c r="FG69" s="7">
        <v>0</v>
      </c>
      <c r="FH69" s="7">
        <v>0</v>
      </c>
      <c r="FI69" s="134">
        <v>0</v>
      </c>
      <c r="FJ69" s="134">
        <v>0</v>
      </c>
      <c r="FK69" s="134">
        <v>0</v>
      </c>
      <c r="FL69" s="134">
        <v>0</v>
      </c>
      <c r="FM69" s="151">
        <v>0</v>
      </c>
      <c r="FN69" s="151">
        <v>0</v>
      </c>
      <c r="FO69" s="7">
        <v>0</v>
      </c>
      <c r="FP69" s="7">
        <v>0</v>
      </c>
      <c r="FQ69" s="7">
        <v>0</v>
      </c>
      <c r="FR69" s="7">
        <v>0</v>
      </c>
      <c r="FS69" s="7">
        <v>0</v>
      </c>
      <c r="FT69" s="7">
        <v>0</v>
      </c>
      <c r="FU69" s="7">
        <v>0</v>
      </c>
      <c r="FV69" s="7">
        <v>0</v>
      </c>
      <c r="FW69" s="7">
        <v>0</v>
      </c>
      <c r="FX69" s="7">
        <v>0</v>
      </c>
      <c r="FY69" s="7">
        <v>0</v>
      </c>
      <c r="FZ69" s="7">
        <v>0</v>
      </c>
      <c r="GA69" s="7">
        <v>0</v>
      </c>
      <c r="GB69" s="7">
        <v>0</v>
      </c>
      <c r="GC69" s="7">
        <v>0</v>
      </c>
      <c r="GD69" s="7">
        <v>0</v>
      </c>
      <c r="GE69" s="7">
        <v>0</v>
      </c>
      <c r="GF69" s="7">
        <v>0</v>
      </c>
      <c r="GG69" s="7">
        <v>0</v>
      </c>
      <c r="GH69" s="7">
        <v>0</v>
      </c>
      <c r="GI69" s="7">
        <v>0</v>
      </c>
      <c r="GJ69" s="7">
        <v>0</v>
      </c>
      <c r="GK69" s="7">
        <v>0</v>
      </c>
      <c r="GL69" s="7">
        <v>0</v>
      </c>
      <c r="GM69" s="7">
        <v>0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0</v>
      </c>
      <c r="HE69" s="7">
        <v>0</v>
      </c>
      <c r="HF69" s="7">
        <v>0</v>
      </c>
      <c r="HG69" s="7">
        <v>0</v>
      </c>
      <c r="HH69" s="7">
        <v>0</v>
      </c>
      <c r="HI69" s="7">
        <v>0</v>
      </c>
      <c r="HJ69" s="7">
        <v>0</v>
      </c>
      <c r="HK69" s="7">
        <v>0</v>
      </c>
      <c r="HL69" s="7">
        <v>0</v>
      </c>
      <c r="HM69" s="7">
        <v>0</v>
      </c>
      <c r="HN69" s="7">
        <v>0</v>
      </c>
      <c r="HO69" s="7">
        <v>0</v>
      </c>
      <c r="HP69" s="7">
        <v>0</v>
      </c>
      <c r="HQ69" s="7">
        <v>0</v>
      </c>
      <c r="HR69" s="7">
        <v>0</v>
      </c>
      <c r="HS69" s="7">
        <v>0</v>
      </c>
      <c r="HT69" s="7">
        <v>0</v>
      </c>
      <c r="HU69" s="7">
        <v>0</v>
      </c>
      <c r="HV69" s="7">
        <v>0</v>
      </c>
      <c r="HW69" s="7">
        <v>0</v>
      </c>
      <c r="HX69" s="7">
        <v>0</v>
      </c>
      <c r="HY69" s="7">
        <v>0</v>
      </c>
      <c r="HZ69" s="7">
        <v>0</v>
      </c>
      <c r="IA69" s="7">
        <v>0</v>
      </c>
      <c r="IB69" s="7">
        <v>0</v>
      </c>
      <c r="IC69" s="7">
        <v>0</v>
      </c>
      <c r="ID69" s="7">
        <v>0</v>
      </c>
      <c r="IE69" s="7">
        <v>0</v>
      </c>
      <c r="IF69" s="7">
        <v>0</v>
      </c>
      <c r="IG69" s="7">
        <v>0</v>
      </c>
      <c r="IH69" s="7">
        <v>0</v>
      </c>
      <c r="II69" s="7">
        <v>0</v>
      </c>
      <c r="IJ69" s="7">
        <v>0</v>
      </c>
      <c r="IK69" s="7">
        <v>0</v>
      </c>
      <c r="IL69" s="7">
        <v>0</v>
      </c>
      <c r="IM69" s="7">
        <v>0</v>
      </c>
      <c r="IN69" s="7">
        <v>0</v>
      </c>
      <c r="IO69" s="7">
        <v>0</v>
      </c>
      <c r="IP69" s="7">
        <v>0</v>
      </c>
      <c r="IQ69" s="7">
        <v>0</v>
      </c>
      <c r="IR69" s="7">
        <v>0</v>
      </c>
      <c r="IS69" s="7">
        <v>0</v>
      </c>
      <c r="IT69" s="7">
        <v>0</v>
      </c>
      <c r="IU69" s="7">
        <v>0</v>
      </c>
      <c r="IV69" s="7">
        <v>0</v>
      </c>
      <c r="IW69" s="7">
        <v>0</v>
      </c>
      <c r="IX69" s="7">
        <v>0</v>
      </c>
      <c r="IY69" s="7">
        <v>0</v>
      </c>
      <c r="IZ69" s="7">
        <v>0</v>
      </c>
      <c r="JA69" s="7">
        <v>0</v>
      </c>
      <c r="JB69" s="7">
        <v>0</v>
      </c>
      <c r="JC69" s="7">
        <v>0</v>
      </c>
      <c r="JD69" s="7">
        <v>0</v>
      </c>
      <c r="JE69" s="7">
        <v>0</v>
      </c>
      <c r="JF69" s="151">
        <v>0</v>
      </c>
      <c r="JG69" s="151">
        <v>0</v>
      </c>
      <c r="JH69" s="7">
        <v>0</v>
      </c>
      <c r="JI69" s="7">
        <v>0</v>
      </c>
      <c r="JJ69" s="7">
        <v>0</v>
      </c>
      <c r="JK69" s="7">
        <v>0</v>
      </c>
      <c r="JL69" s="7">
        <v>0</v>
      </c>
      <c r="JM69" s="7">
        <v>0</v>
      </c>
      <c r="JN69" s="7">
        <v>0</v>
      </c>
      <c r="JO69" s="7">
        <v>0</v>
      </c>
      <c r="JP69" s="7">
        <v>0</v>
      </c>
      <c r="JQ69" s="7">
        <v>0</v>
      </c>
      <c r="JR69" s="7">
        <v>0</v>
      </c>
      <c r="JS69" s="7">
        <v>0</v>
      </c>
      <c r="JT69" s="7">
        <v>0</v>
      </c>
      <c r="JU69" s="151">
        <v>0</v>
      </c>
      <c r="JV69" s="151">
        <v>0</v>
      </c>
      <c r="JW69" s="151">
        <v>0</v>
      </c>
      <c r="JX69" s="151">
        <v>0</v>
      </c>
      <c r="JY69" s="7">
        <v>0</v>
      </c>
      <c r="JZ69" s="7">
        <v>0</v>
      </c>
      <c r="KA69" s="7">
        <v>0</v>
      </c>
      <c r="KB69" s="7">
        <v>0</v>
      </c>
      <c r="KC69" s="7">
        <v>0</v>
      </c>
      <c r="KD69" s="7">
        <v>0</v>
      </c>
      <c r="KE69" s="7">
        <v>0</v>
      </c>
      <c r="KF69" s="7">
        <v>0</v>
      </c>
      <c r="KG69" s="7">
        <v>0</v>
      </c>
      <c r="KH69" s="7">
        <v>0</v>
      </c>
      <c r="KI69" s="7">
        <v>0</v>
      </c>
      <c r="KJ69" s="7">
        <v>0</v>
      </c>
      <c r="KK69" s="7">
        <v>0</v>
      </c>
      <c r="KL69" s="7">
        <v>0</v>
      </c>
      <c r="KM69" s="7">
        <v>0</v>
      </c>
      <c r="KN69" s="7">
        <v>0</v>
      </c>
      <c r="KO69" s="7">
        <v>0</v>
      </c>
      <c r="KP69" s="7">
        <v>0</v>
      </c>
      <c r="KQ69" s="7">
        <v>0</v>
      </c>
      <c r="KR69" s="7">
        <v>0</v>
      </c>
      <c r="KS69" s="7">
        <v>0</v>
      </c>
      <c r="KT69" s="7">
        <v>0</v>
      </c>
      <c r="KU69" s="7">
        <v>0</v>
      </c>
      <c r="KV69" s="7">
        <v>0</v>
      </c>
      <c r="KW69" s="7">
        <v>0</v>
      </c>
      <c r="KX69" s="7">
        <v>0</v>
      </c>
      <c r="KY69" s="7">
        <v>0</v>
      </c>
      <c r="KZ69" s="7">
        <v>0</v>
      </c>
      <c r="LA69" s="7">
        <v>0</v>
      </c>
      <c r="LB69" s="7">
        <v>0</v>
      </c>
      <c r="LC69" s="7">
        <v>0</v>
      </c>
      <c r="LD69" s="7">
        <v>0</v>
      </c>
      <c r="LE69" s="7">
        <v>0</v>
      </c>
      <c r="LF69" s="7">
        <v>0</v>
      </c>
      <c r="LG69" s="7">
        <v>0</v>
      </c>
      <c r="LH69" s="7">
        <v>0</v>
      </c>
      <c r="LI69" s="7">
        <v>0</v>
      </c>
      <c r="LJ69" s="7">
        <v>0</v>
      </c>
      <c r="LK69" s="7">
        <v>0</v>
      </c>
      <c r="LL69" s="7">
        <v>0</v>
      </c>
      <c r="LM69" s="7">
        <v>0</v>
      </c>
      <c r="LN69" s="7">
        <v>0</v>
      </c>
      <c r="LO69" s="7">
        <v>0</v>
      </c>
      <c r="LP69" s="7">
        <v>0</v>
      </c>
      <c r="LQ69" s="7">
        <v>0</v>
      </c>
      <c r="LR69" s="7">
        <v>0</v>
      </c>
      <c r="LS69" s="7">
        <v>0</v>
      </c>
      <c r="LT69" s="7">
        <v>0</v>
      </c>
      <c r="LU69" s="232">
        <v>0</v>
      </c>
      <c r="LV69" s="232">
        <v>0</v>
      </c>
      <c r="LW69" s="232">
        <v>0</v>
      </c>
      <c r="LX69" s="7">
        <v>0</v>
      </c>
      <c r="LY69" s="7">
        <v>0</v>
      </c>
    </row>
    <row r="70" spans="1:337" x14ac:dyDescent="0.25">
      <c r="A70" t="s">
        <v>148</v>
      </c>
      <c r="B70" t="s">
        <v>149</v>
      </c>
      <c r="C70" s="7">
        <v>7602</v>
      </c>
      <c r="D70">
        <v>11157</v>
      </c>
      <c r="F70">
        <f t="shared" si="4"/>
        <v>-11157</v>
      </c>
      <c r="G70">
        <f t="shared" si="5"/>
        <v>-100</v>
      </c>
      <c r="H70">
        <v>5497</v>
      </c>
      <c r="I70">
        <v>5660</v>
      </c>
      <c r="J70">
        <v>0</v>
      </c>
      <c r="K70">
        <v>11157</v>
      </c>
      <c r="L70" s="7">
        <v>1031</v>
      </c>
      <c r="M70" s="7">
        <v>888</v>
      </c>
      <c r="N70" s="7">
        <v>782</v>
      </c>
      <c r="O70" s="7">
        <v>654</v>
      </c>
      <c r="P70" s="7">
        <v>467</v>
      </c>
      <c r="Q70" s="7">
        <v>352</v>
      </c>
      <c r="R70" s="7">
        <v>279</v>
      </c>
      <c r="S70" s="7">
        <v>211</v>
      </c>
      <c r="T70" s="7">
        <v>137</v>
      </c>
      <c r="U70" s="7">
        <v>196</v>
      </c>
      <c r="V70" s="7">
        <v>124</v>
      </c>
      <c r="W70" s="7">
        <v>109</v>
      </c>
      <c r="X70" s="7">
        <v>91</v>
      </c>
      <c r="Y70" s="7">
        <v>165</v>
      </c>
      <c r="Z70" s="7">
        <v>11</v>
      </c>
      <c r="AA70" s="7">
        <v>961</v>
      </c>
      <c r="AB70" s="7">
        <v>864</v>
      </c>
      <c r="AC70" s="7">
        <v>821</v>
      </c>
      <c r="AD70" s="7">
        <v>701</v>
      </c>
      <c r="AE70" s="7">
        <v>530</v>
      </c>
      <c r="AF70" s="7">
        <v>388</v>
      </c>
      <c r="AG70" s="7">
        <v>288</v>
      </c>
      <c r="AH70" s="7">
        <v>265</v>
      </c>
      <c r="AI70" s="7">
        <v>165</v>
      </c>
      <c r="AJ70" s="7">
        <v>187</v>
      </c>
      <c r="AK70" s="7">
        <v>116</v>
      </c>
      <c r="AL70" s="7">
        <v>107</v>
      </c>
      <c r="AM70" s="7">
        <v>88</v>
      </c>
      <c r="AN70" s="7">
        <v>170</v>
      </c>
      <c r="AO70" s="7">
        <v>9</v>
      </c>
      <c r="AP70">
        <v>11133</v>
      </c>
      <c r="AQ70">
        <v>8</v>
      </c>
      <c r="AR70" t="s">
        <v>358</v>
      </c>
      <c r="AS70">
        <v>1</v>
      </c>
      <c r="AT70">
        <v>15</v>
      </c>
      <c r="AU70" s="7">
        <v>9877</v>
      </c>
      <c r="AV70" s="7">
        <v>4830</v>
      </c>
      <c r="AW70" s="7">
        <v>5047</v>
      </c>
      <c r="AX70" s="7">
        <v>6003</v>
      </c>
      <c r="AY70" s="7">
        <v>9877</v>
      </c>
      <c r="AZ70" s="7">
        <v>9877</v>
      </c>
      <c r="BA70" s="7">
        <v>0</v>
      </c>
      <c r="BB70" s="7">
        <v>389</v>
      </c>
      <c r="BC70" s="7">
        <v>374</v>
      </c>
      <c r="BD70" s="7">
        <v>882</v>
      </c>
      <c r="BE70" s="7">
        <v>859</v>
      </c>
      <c r="BF70" s="7">
        <v>779</v>
      </c>
      <c r="BG70" s="7">
        <v>819</v>
      </c>
      <c r="BH70" s="7">
        <v>651</v>
      </c>
      <c r="BI70" s="7">
        <v>699</v>
      </c>
      <c r="BJ70" s="7">
        <v>467</v>
      </c>
      <c r="BK70" s="7">
        <v>529</v>
      </c>
      <c r="BL70" s="7">
        <v>352</v>
      </c>
      <c r="BM70" s="7">
        <v>384</v>
      </c>
      <c r="BN70" s="7">
        <v>277</v>
      </c>
      <c r="BO70" s="7">
        <v>287</v>
      </c>
      <c r="BP70" s="7">
        <v>211</v>
      </c>
      <c r="BQ70" s="7">
        <v>265</v>
      </c>
      <c r="BR70" s="7">
        <v>137</v>
      </c>
      <c r="BS70" s="7">
        <v>165</v>
      </c>
      <c r="BT70" s="7">
        <v>196</v>
      </c>
      <c r="BU70" s="7">
        <v>186</v>
      </c>
      <c r="BV70" s="7">
        <v>124</v>
      </c>
      <c r="BW70" s="7">
        <v>116</v>
      </c>
      <c r="BX70" s="7">
        <v>109</v>
      </c>
      <c r="BY70" s="7">
        <v>107</v>
      </c>
      <c r="BZ70" s="7">
        <v>91</v>
      </c>
      <c r="CA70" s="7">
        <v>88</v>
      </c>
      <c r="CB70" s="7">
        <v>165</v>
      </c>
      <c r="CC70" s="7">
        <v>169</v>
      </c>
      <c r="CD70" s="7">
        <v>1918</v>
      </c>
      <c r="CE70" s="7">
        <v>823</v>
      </c>
      <c r="CF70" s="7">
        <v>2831</v>
      </c>
      <c r="CG70" s="7">
        <v>4128</v>
      </c>
      <c r="CH70" s="7">
        <v>1789</v>
      </c>
      <c r="CI70" s="7">
        <v>273</v>
      </c>
      <c r="CJ70" s="7">
        <v>10172</v>
      </c>
      <c r="CK70" s="7">
        <v>979</v>
      </c>
      <c r="CL70" s="7">
        <v>92</v>
      </c>
      <c r="CM70" s="7">
        <v>232</v>
      </c>
      <c r="CN70" s="7">
        <v>252</v>
      </c>
      <c r="CO70" s="7">
        <v>300</v>
      </c>
      <c r="CP70" s="7">
        <v>243</v>
      </c>
      <c r="CQ70" s="7">
        <v>943</v>
      </c>
      <c r="CR70" s="7">
        <v>1756</v>
      </c>
      <c r="CS70" s="7">
        <v>6334</v>
      </c>
      <c r="CT70" s="7">
        <v>430</v>
      </c>
      <c r="CU70" s="7">
        <v>250</v>
      </c>
      <c r="CV70" s="7">
        <v>94</v>
      </c>
      <c r="CW70" s="7">
        <v>160</v>
      </c>
      <c r="CX70" s="7">
        <v>0</v>
      </c>
      <c r="CY70" s="7">
        <v>7689</v>
      </c>
      <c r="CZ70" s="7">
        <v>2916</v>
      </c>
      <c r="DA70" s="7">
        <v>0</v>
      </c>
      <c r="DB70" s="7">
        <v>92</v>
      </c>
      <c r="DC70" s="7">
        <v>0</v>
      </c>
      <c r="DD70" s="7">
        <v>1129</v>
      </c>
      <c r="DE70" s="7">
        <v>623</v>
      </c>
      <c r="DF70" s="7">
        <v>9405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7</v>
      </c>
      <c r="DM70" s="7">
        <v>2</v>
      </c>
      <c r="DN70" s="7">
        <v>11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9</v>
      </c>
      <c r="DU70" s="7">
        <v>5</v>
      </c>
      <c r="DV70" s="7">
        <v>4</v>
      </c>
      <c r="DW70" s="7">
        <v>2</v>
      </c>
      <c r="DX70" s="7">
        <v>3</v>
      </c>
      <c r="DY70" s="7">
        <v>1</v>
      </c>
      <c r="DZ70" s="7">
        <v>7</v>
      </c>
      <c r="EA70" s="7">
        <v>2</v>
      </c>
      <c r="EB70" s="7">
        <v>3</v>
      </c>
      <c r="EC70" s="7">
        <v>0</v>
      </c>
      <c r="ED70" s="7">
        <v>1</v>
      </c>
      <c r="EE70" s="7">
        <v>3</v>
      </c>
      <c r="EF70" s="7">
        <v>1</v>
      </c>
      <c r="EG70" s="7">
        <v>4</v>
      </c>
      <c r="EH70" s="7">
        <v>9</v>
      </c>
      <c r="EI70" s="7">
        <v>5</v>
      </c>
      <c r="EJ70" s="7">
        <v>4</v>
      </c>
      <c r="EK70" s="7">
        <v>7</v>
      </c>
      <c r="EL70" s="7">
        <v>2</v>
      </c>
      <c r="EM70" s="7">
        <v>3</v>
      </c>
      <c r="EN70" s="7">
        <v>4</v>
      </c>
      <c r="EO70" s="7">
        <v>1457</v>
      </c>
      <c r="EP70" s="7">
        <v>1398</v>
      </c>
      <c r="EQ70" s="7">
        <v>59</v>
      </c>
      <c r="ER70" s="7">
        <v>1712</v>
      </c>
      <c r="ES70" s="7">
        <v>182</v>
      </c>
      <c r="ET70" s="7">
        <v>180</v>
      </c>
      <c r="EU70" s="7">
        <v>2</v>
      </c>
      <c r="EV70" s="7">
        <v>3305</v>
      </c>
      <c r="EW70" s="134">
        <v>80.544993663</v>
      </c>
      <c r="EX70" s="134">
        <v>9.3789607097999994</v>
      </c>
      <c r="EY70" s="134">
        <v>4.3726235741000004</v>
      </c>
      <c r="EZ70" s="134">
        <v>4.3092522180000001</v>
      </c>
      <c r="FA70" s="134">
        <v>1.3941698352</v>
      </c>
      <c r="FB70" s="7">
        <v>607</v>
      </c>
      <c r="FC70" s="7">
        <v>838</v>
      </c>
      <c r="FD70" s="7">
        <v>34</v>
      </c>
      <c r="FE70" s="7">
        <v>116</v>
      </c>
      <c r="FF70" s="7">
        <v>0</v>
      </c>
      <c r="FG70" s="7">
        <v>35</v>
      </c>
      <c r="FH70" s="7">
        <v>6</v>
      </c>
      <c r="FI70" s="134">
        <v>81.368821292999996</v>
      </c>
      <c r="FJ70" s="134">
        <v>6.9074778200000004</v>
      </c>
      <c r="FK70" s="134">
        <v>6.3371356147000002</v>
      </c>
      <c r="FL70" s="134">
        <v>5.3865652725000004</v>
      </c>
      <c r="FM70" s="151">
        <v>3996</v>
      </c>
      <c r="FN70" s="151">
        <v>1438</v>
      </c>
      <c r="FO70" s="7">
        <v>932</v>
      </c>
      <c r="FP70" s="7">
        <v>6</v>
      </c>
      <c r="FQ70" s="7">
        <v>2</v>
      </c>
      <c r="FR70" s="7">
        <v>0</v>
      </c>
      <c r="FS70" s="7">
        <v>3048</v>
      </c>
      <c r="FT70" s="7">
        <v>10</v>
      </c>
      <c r="FU70" s="7">
        <v>2</v>
      </c>
      <c r="FV70" s="7">
        <v>63</v>
      </c>
      <c r="FW70" s="7">
        <v>4165</v>
      </c>
      <c r="FX70" s="7">
        <v>1442</v>
      </c>
      <c r="FY70" s="7">
        <v>977</v>
      </c>
      <c r="FZ70" s="7">
        <v>7</v>
      </c>
      <c r="GA70" s="7">
        <v>0</v>
      </c>
      <c r="GB70" s="7">
        <v>3</v>
      </c>
      <c r="GC70" s="7">
        <v>3167</v>
      </c>
      <c r="GD70" s="7">
        <v>11</v>
      </c>
      <c r="GE70" s="7">
        <v>0</v>
      </c>
      <c r="GF70" s="7">
        <v>53</v>
      </c>
      <c r="GG70" s="7">
        <v>682</v>
      </c>
      <c r="GH70" s="7">
        <v>658</v>
      </c>
      <c r="GI70" s="7">
        <v>589</v>
      </c>
      <c r="GJ70" s="7">
        <v>476</v>
      </c>
      <c r="GK70" s="7">
        <v>303</v>
      </c>
      <c r="GL70" s="7">
        <v>259</v>
      </c>
      <c r="GM70" s="7">
        <v>215</v>
      </c>
      <c r="GN70" s="7">
        <v>165</v>
      </c>
      <c r="GO70" s="7">
        <v>107</v>
      </c>
      <c r="GP70" s="7">
        <v>158</v>
      </c>
      <c r="GQ70" s="7">
        <v>99</v>
      </c>
      <c r="GR70" s="7">
        <v>81</v>
      </c>
      <c r="GS70" s="7">
        <v>66</v>
      </c>
      <c r="GT70" s="7">
        <v>52</v>
      </c>
      <c r="GU70" s="7">
        <v>30</v>
      </c>
      <c r="GV70" s="7">
        <v>23</v>
      </c>
      <c r="GW70" s="7">
        <v>16</v>
      </c>
      <c r="GX70" s="7">
        <v>11</v>
      </c>
      <c r="GY70" s="7">
        <v>622</v>
      </c>
      <c r="GZ70" s="7">
        <v>636</v>
      </c>
      <c r="HA70" s="7">
        <v>635</v>
      </c>
      <c r="HB70" s="7">
        <v>479</v>
      </c>
      <c r="HC70" s="7">
        <v>385</v>
      </c>
      <c r="HD70" s="7">
        <v>308</v>
      </c>
      <c r="HE70" s="7">
        <v>237</v>
      </c>
      <c r="HF70" s="7">
        <v>206</v>
      </c>
      <c r="HG70" s="7">
        <v>139</v>
      </c>
      <c r="HH70" s="7">
        <v>157</v>
      </c>
      <c r="HI70" s="7">
        <v>80</v>
      </c>
      <c r="HJ70" s="7">
        <v>84</v>
      </c>
      <c r="HK70" s="7">
        <v>63</v>
      </c>
      <c r="HL70" s="7">
        <v>53</v>
      </c>
      <c r="HM70" s="7">
        <v>40</v>
      </c>
      <c r="HN70" s="7">
        <v>18</v>
      </c>
      <c r="HO70" s="7">
        <v>6</v>
      </c>
      <c r="HP70" s="7">
        <v>13</v>
      </c>
      <c r="HQ70" s="7">
        <v>2042</v>
      </c>
      <c r="HR70" s="7">
        <v>5</v>
      </c>
      <c r="HS70" s="7">
        <v>0</v>
      </c>
      <c r="HT70" s="7">
        <v>0</v>
      </c>
      <c r="HU70" s="7">
        <v>0</v>
      </c>
      <c r="HV70" s="7">
        <v>1</v>
      </c>
      <c r="HW70" s="7">
        <v>0</v>
      </c>
      <c r="HX70" s="7">
        <v>16</v>
      </c>
      <c r="HY70" s="7">
        <v>92</v>
      </c>
      <c r="HZ70" s="7">
        <v>232</v>
      </c>
      <c r="IA70" s="7">
        <v>252</v>
      </c>
      <c r="IB70" s="7">
        <v>300</v>
      </c>
      <c r="IC70" s="7">
        <v>243</v>
      </c>
      <c r="ID70" s="7">
        <v>291</v>
      </c>
      <c r="IE70" s="7">
        <v>206</v>
      </c>
      <c r="IF70" s="7">
        <v>173</v>
      </c>
      <c r="IG70" s="7">
        <v>272</v>
      </c>
      <c r="IH70" s="7">
        <v>109</v>
      </c>
      <c r="II70" s="7">
        <v>605</v>
      </c>
      <c r="IJ70" s="7">
        <v>543</v>
      </c>
      <c r="IK70" s="7">
        <v>325</v>
      </c>
      <c r="IL70" s="7">
        <v>278</v>
      </c>
      <c r="IM70" s="7">
        <v>116</v>
      </c>
      <c r="IN70" s="7">
        <v>29</v>
      </c>
      <c r="IO70" s="7">
        <v>6</v>
      </c>
      <c r="IP70" s="7">
        <v>9</v>
      </c>
      <c r="IQ70" s="7">
        <v>798</v>
      </c>
      <c r="IR70" s="7">
        <v>582</v>
      </c>
      <c r="IS70" s="7">
        <v>269</v>
      </c>
      <c r="IT70" s="7">
        <v>288</v>
      </c>
      <c r="IU70" s="7">
        <v>82</v>
      </c>
      <c r="IV70" s="7">
        <v>161</v>
      </c>
      <c r="IW70" s="7">
        <v>872</v>
      </c>
      <c r="IX70" s="7">
        <v>20</v>
      </c>
      <c r="IY70" s="7">
        <v>30</v>
      </c>
      <c r="IZ70" s="7">
        <v>2</v>
      </c>
      <c r="JA70" s="7">
        <v>964</v>
      </c>
      <c r="JB70" s="7">
        <v>265</v>
      </c>
      <c r="JC70" s="7">
        <v>113</v>
      </c>
      <c r="JD70" s="7">
        <v>11</v>
      </c>
      <c r="JE70" s="7">
        <v>18</v>
      </c>
      <c r="JF70" s="151">
        <v>1885.959981182931</v>
      </c>
      <c r="JG70" s="151">
        <v>167.90387909737242</v>
      </c>
      <c r="JH70" s="7">
        <v>441</v>
      </c>
      <c r="JI70" s="7">
        <v>1598</v>
      </c>
      <c r="JJ70" s="7">
        <v>7</v>
      </c>
      <c r="JK70" s="7">
        <v>15</v>
      </c>
      <c r="JL70" s="7">
        <v>72</v>
      </c>
      <c r="JM70" s="7">
        <v>11</v>
      </c>
      <c r="JN70" s="7">
        <v>34</v>
      </c>
      <c r="JO70" s="7">
        <v>822</v>
      </c>
      <c r="JP70" s="7">
        <v>714</v>
      </c>
      <c r="JQ70" s="7">
        <v>4</v>
      </c>
      <c r="JR70" s="7">
        <v>78</v>
      </c>
      <c r="JS70" s="7">
        <v>16</v>
      </c>
      <c r="JT70" s="7">
        <v>6</v>
      </c>
      <c r="JU70" s="151">
        <v>40.681556609495523</v>
      </c>
      <c r="JV70" s="151">
        <v>296.0507824172833</v>
      </c>
      <c r="JW70" s="151">
        <v>1495.6019538981807</v>
      </c>
      <c r="JX70" s="151">
        <v>53.625688257971369</v>
      </c>
      <c r="JY70" s="7">
        <v>1980</v>
      </c>
      <c r="JZ70" s="7">
        <v>11060</v>
      </c>
      <c r="KA70" s="7">
        <v>22</v>
      </c>
      <c r="KB70" s="7">
        <v>0</v>
      </c>
      <c r="KC70" s="7">
        <v>0</v>
      </c>
      <c r="KD70" s="7">
        <v>0</v>
      </c>
      <c r="KE70" s="7">
        <v>7</v>
      </c>
      <c r="KF70" s="7">
        <v>0</v>
      </c>
      <c r="KG70" s="7">
        <v>68</v>
      </c>
      <c r="KH70" s="7">
        <v>2114</v>
      </c>
      <c r="KI70" s="7">
        <v>8925</v>
      </c>
      <c r="KJ70" s="7">
        <v>39</v>
      </c>
      <c r="KK70" s="7">
        <v>66</v>
      </c>
      <c r="KL70" s="7">
        <v>220</v>
      </c>
      <c r="KM70" s="7">
        <v>1601</v>
      </c>
      <c r="KN70" s="7">
        <v>8088</v>
      </c>
      <c r="KO70" s="7">
        <v>290</v>
      </c>
      <c r="KP70" s="7">
        <v>10199</v>
      </c>
      <c r="KQ70" s="7">
        <v>908</v>
      </c>
      <c r="KR70" s="7">
        <v>1553</v>
      </c>
      <c r="KS70" s="7">
        <v>1553</v>
      </c>
      <c r="KT70" s="7">
        <v>372</v>
      </c>
      <c r="KU70" s="7">
        <v>115</v>
      </c>
      <c r="KV70" s="7">
        <v>140</v>
      </c>
      <c r="KW70" s="7">
        <v>0</v>
      </c>
      <c r="KX70" s="7">
        <v>361</v>
      </c>
      <c r="KY70" s="7">
        <v>104</v>
      </c>
      <c r="KZ70" s="7">
        <v>119</v>
      </c>
      <c r="LA70" s="7">
        <v>0</v>
      </c>
      <c r="LB70" s="7">
        <v>831</v>
      </c>
      <c r="LC70" s="7">
        <v>833</v>
      </c>
      <c r="LD70" s="7">
        <v>1066</v>
      </c>
      <c r="LE70" s="7">
        <v>1646</v>
      </c>
      <c r="LF70" s="7">
        <v>5790</v>
      </c>
      <c r="LG70" s="7">
        <v>31</v>
      </c>
      <c r="LH70" s="7">
        <v>1350</v>
      </c>
      <c r="LI70" s="7">
        <v>106</v>
      </c>
      <c r="LJ70" s="7">
        <v>209</v>
      </c>
      <c r="LK70" s="7">
        <v>0</v>
      </c>
      <c r="LL70" s="7">
        <v>102</v>
      </c>
      <c r="LM70" s="7">
        <v>12</v>
      </c>
      <c r="LN70" s="7">
        <v>27</v>
      </c>
      <c r="LO70" s="7">
        <v>1175</v>
      </c>
      <c r="LP70" s="7">
        <v>95</v>
      </c>
      <c r="LQ70" s="7">
        <v>144</v>
      </c>
      <c r="LR70" s="7">
        <v>0</v>
      </c>
      <c r="LS70" s="7">
        <v>45</v>
      </c>
      <c r="LT70" s="7">
        <v>2</v>
      </c>
      <c r="LU70" s="232">
        <v>3.1850441406000001</v>
      </c>
      <c r="LV70" s="232">
        <v>3.7042507205000001</v>
      </c>
      <c r="LW70" s="232">
        <v>2.7047650782999999</v>
      </c>
      <c r="LX70" s="7">
        <v>2061</v>
      </c>
      <c r="LY70" s="7">
        <v>11144</v>
      </c>
    </row>
    <row r="71" spans="1:337" x14ac:dyDescent="0.25">
      <c r="A71" t="s">
        <v>268</v>
      </c>
      <c r="B71" t="s">
        <v>269</v>
      </c>
      <c r="C71" s="7">
        <v>5086</v>
      </c>
      <c r="D71">
        <v>6900</v>
      </c>
      <c r="F71">
        <f t="shared" si="4"/>
        <v>-6900</v>
      </c>
      <c r="G71">
        <f t="shared" si="5"/>
        <v>-100</v>
      </c>
      <c r="H71">
        <v>3474</v>
      </c>
      <c r="I71">
        <v>3426</v>
      </c>
      <c r="J71">
        <v>2546</v>
      </c>
      <c r="K71">
        <v>4354</v>
      </c>
      <c r="L71" s="7">
        <v>439</v>
      </c>
      <c r="M71" s="7">
        <v>437</v>
      </c>
      <c r="N71" s="7">
        <v>477</v>
      </c>
      <c r="O71" s="7">
        <v>429</v>
      </c>
      <c r="P71" s="7">
        <v>287</v>
      </c>
      <c r="Q71" s="7">
        <v>269</v>
      </c>
      <c r="R71" s="7">
        <v>236</v>
      </c>
      <c r="S71" s="7">
        <v>195</v>
      </c>
      <c r="T71" s="7">
        <v>148</v>
      </c>
      <c r="U71" s="7">
        <v>123</v>
      </c>
      <c r="V71" s="7">
        <v>127</v>
      </c>
      <c r="W71" s="7">
        <v>91</v>
      </c>
      <c r="X71" s="7">
        <v>71</v>
      </c>
      <c r="Y71" s="7">
        <v>145</v>
      </c>
      <c r="Z71" s="7">
        <v>0</v>
      </c>
      <c r="AA71" s="7">
        <v>451</v>
      </c>
      <c r="AB71" s="7">
        <v>400</v>
      </c>
      <c r="AC71" s="7">
        <v>504</v>
      </c>
      <c r="AD71" s="7">
        <v>421</v>
      </c>
      <c r="AE71" s="7">
        <v>326</v>
      </c>
      <c r="AF71" s="7">
        <v>274</v>
      </c>
      <c r="AG71" s="7">
        <v>216</v>
      </c>
      <c r="AH71" s="7">
        <v>205</v>
      </c>
      <c r="AI71" s="7">
        <v>129</v>
      </c>
      <c r="AJ71" s="7">
        <v>137</v>
      </c>
      <c r="AK71" s="7">
        <v>94</v>
      </c>
      <c r="AL71" s="7">
        <v>86</v>
      </c>
      <c r="AM71" s="7">
        <v>74</v>
      </c>
      <c r="AN71" s="7">
        <v>109</v>
      </c>
      <c r="AO71" s="7">
        <v>0</v>
      </c>
      <c r="AP71">
        <v>6835</v>
      </c>
      <c r="AQ71">
        <v>14</v>
      </c>
      <c r="AR71">
        <v>5</v>
      </c>
      <c r="AS71">
        <v>37</v>
      </c>
      <c r="AT71">
        <v>9</v>
      </c>
      <c r="AU71" s="7">
        <v>79</v>
      </c>
      <c r="AV71" s="7">
        <v>42</v>
      </c>
      <c r="AW71" s="7">
        <v>37</v>
      </c>
      <c r="AX71" s="7">
        <v>36</v>
      </c>
      <c r="AY71" s="7">
        <v>79</v>
      </c>
      <c r="AZ71" s="7">
        <v>66</v>
      </c>
      <c r="BA71" s="7">
        <v>13</v>
      </c>
      <c r="BB71" s="7">
        <v>1</v>
      </c>
      <c r="BC71" s="7">
        <v>2</v>
      </c>
      <c r="BD71" s="7">
        <v>3</v>
      </c>
      <c r="BE71" s="7">
        <v>8</v>
      </c>
      <c r="BF71" s="7">
        <v>4</v>
      </c>
      <c r="BG71" s="7">
        <v>7</v>
      </c>
      <c r="BH71" s="7">
        <v>4</v>
      </c>
      <c r="BI71" s="7">
        <v>2</v>
      </c>
      <c r="BJ71" s="7">
        <v>6</v>
      </c>
      <c r="BK71" s="7">
        <v>5</v>
      </c>
      <c r="BL71" s="7">
        <v>6</v>
      </c>
      <c r="BM71" s="7">
        <v>3</v>
      </c>
      <c r="BN71" s="7">
        <v>3</v>
      </c>
      <c r="BO71" s="7">
        <v>1</v>
      </c>
      <c r="BP71" s="7">
        <v>1</v>
      </c>
      <c r="BQ71" s="7">
        <v>2</v>
      </c>
      <c r="BR71" s="7">
        <v>3</v>
      </c>
      <c r="BS71" s="7">
        <v>1</v>
      </c>
      <c r="BT71" s="7">
        <v>1</v>
      </c>
      <c r="BU71" s="7">
        <v>3</v>
      </c>
      <c r="BV71" s="7">
        <v>4</v>
      </c>
      <c r="BW71" s="7">
        <v>0</v>
      </c>
      <c r="BX71" s="7">
        <v>1</v>
      </c>
      <c r="BY71" s="7">
        <v>1</v>
      </c>
      <c r="BZ71" s="7">
        <v>2</v>
      </c>
      <c r="CA71" s="7">
        <v>2</v>
      </c>
      <c r="CB71" s="7">
        <v>3</v>
      </c>
      <c r="CC71" s="7">
        <v>0</v>
      </c>
      <c r="CD71" s="7">
        <v>41</v>
      </c>
      <c r="CE71" s="7">
        <v>36</v>
      </c>
      <c r="CF71" s="7">
        <v>0</v>
      </c>
      <c r="CG71" s="7">
        <v>0</v>
      </c>
      <c r="CH71" s="7">
        <v>1154</v>
      </c>
      <c r="CI71" s="7">
        <v>186</v>
      </c>
      <c r="CJ71" s="7">
        <v>6079</v>
      </c>
      <c r="CK71" s="7">
        <v>821</v>
      </c>
      <c r="CL71" s="7">
        <v>61</v>
      </c>
      <c r="CM71" s="7">
        <v>89</v>
      </c>
      <c r="CN71" s="7">
        <v>162</v>
      </c>
      <c r="CO71" s="7">
        <v>273</v>
      </c>
      <c r="CP71" s="7">
        <v>243</v>
      </c>
      <c r="CQ71" s="7">
        <v>512</v>
      </c>
      <c r="CR71" s="7">
        <v>1072</v>
      </c>
      <c r="CS71" s="7">
        <v>3461</v>
      </c>
      <c r="CT71" s="7">
        <v>581</v>
      </c>
      <c r="CU71" s="7">
        <v>204</v>
      </c>
      <c r="CV71" s="7">
        <v>60</v>
      </c>
      <c r="CW71" s="7">
        <v>148</v>
      </c>
      <c r="CX71" s="7">
        <v>19</v>
      </c>
      <c r="CY71" s="7">
        <v>3895</v>
      </c>
      <c r="CZ71" s="7">
        <v>2816</v>
      </c>
      <c r="DA71" s="7">
        <v>65</v>
      </c>
      <c r="DB71" s="7">
        <v>61</v>
      </c>
      <c r="DC71" s="7">
        <v>0</v>
      </c>
      <c r="DD71" s="7">
        <v>1900</v>
      </c>
      <c r="DE71" s="7">
        <v>638</v>
      </c>
      <c r="DF71" s="7">
        <v>1816</v>
      </c>
      <c r="DG71" s="7">
        <v>2546</v>
      </c>
      <c r="DH71" s="7">
        <v>0</v>
      </c>
      <c r="DI71" s="7">
        <v>0</v>
      </c>
      <c r="DJ71" s="7">
        <v>0</v>
      </c>
      <c r="DK71" s="7">
        <v>0</v>
      </c>
      <c r="DL71" s="7">
        <v>43</v>
      </c>
      <c r="DM71" s="7">
        <v>2</v>
      </c>
      <c r="DN71" s="7">
        <v>2</v>
      </c>
      <c r="DO71" s="7">
        <v>1</v>
      </c>
      <c r="DP71" s="7">
        <v>0</v>
      </c>
      <c r="DQ71" s="7">
        <v>0</v>
      </c>
      <c r="DR71" s="7">
        <v>0</v>
      </c>
      <c r="DS71" s="7">
        <v>0</v>
      </c>
      <c r="DT71" s="7">
        <v>28</v>
      </c>
      <c r="DU71" s="7">
        <v>29</v>
      </c>
      <c r="DV71" s="7">
        <v>20</v>
      </c>
      <c r="DW71" s="7">
        <v>11</v>
      </c>
      <c r="DX71" s="7">
        <v>8</v>
      </c>
      <c r="DY71" s="7">
        <v>4</v>
      </c>
      <c r="DZ71" s="7">
        <v>12</v>
      </c>
      <c r="EA71" s="7">
        <v>13</v>
      </c>
      <c r="EB71" s="7">
        <v>7</v>
      </c>
      <c r="EC71" s="7">
        <v>5</v>
      </c>
      <c r="ED71" s="7">
        <v>7</v>
      </c>
      <c r="EE71" s="7">
        <v>4</v>
      </c>
      <c r="EF71" s="7">
        <v>14</v>
      </c>
      <c r="EG71" s="7">
        <v>9</v>
      </c>
      <c r="EH71" s="7">
        <v>38</v>
      </c>
      <c r="EI71" s="7">
        <v>22</v>
      </c>
      <c r="EJ71" s="7">
        <v>9</v>
      </c>
      <c r="EK71" s="7">
        <v>12</v>
      </c>
      <c r="EL71" s="7">
        <v>11</v>
      </c>
      <c r="EM71" s="7">
        <v>6</v>
      </c>
      <c r="EN71" s="7">
        <v>11</v>
      </c>
      <c r="EO71" s="7">
        <v>1856</v>
      </c>
      <c r="EP71" s="7">
        <v>1838</v>
      </c>
      <c r="EQ71" s="7">
        <v>18</v>
      </c>
      <c r="ER71" s="7">
        <v>542</v>
      </c>
      <c r="ES71" s="7">
        <v>140</v>
      </c>
      <c r="ET71" s="7">
        <v>137</v>
      </c>
      <c r="EU71" s="7">
        <v>3</v>
      </c>
      <c r="EV71" s="7">
        <v>2229</v>
      </c>
      <c r="EW71" s="134">
        <v>86.922406276999993</v>
      </c>
      <c r="EX71" s="134">
        <v>3.7489102005000001</v>
      </c>
      <c r="EY71" s="134">
        <v>3.1386224935000002</v>
      </c>
      <c r="EZ71" s="134">
        <v>5.7541412379999999</v>
      </c>
      <c r="FA71" s="134">
        <v>0.43591979079999998</v>
      </c>
      <c r="FB71" s="7">
        <v>285</v>
      </c>
      <c r="FC71" s="7">
        <v>1128</v>
      </c>
      <c r="FD71" s="7">
        <v>83</v>
      </c>
      <c r="FE71" s="7">
        <v>368</v>
      </c>
      <c r="FF71" s="7">
        <v>0</v>
      </c>
      <c r="FG71" s="7">
        <v>101</v>
      </c>
      <c r="FH71" s="7">
        <v>28</v>
      </c>
      <c r="FI71" s="134">
        <v>84.394071491000005</v>
      </c>
      <c r="FJ71" s="134">
        <v>6.4516129032</v>
      </c>
      <c r="FK71" s="134">
        <v>3.0514385353</v>
      </c>
      <c r="FL71" s="134">
        <v>6.1028770706</v>
      </c>
      <c r="FM71" s="151">
        <v>2004</v>
      </c>
      <c r="FN71" s="151">
        <v>1460</v>
      </c>
      <c r="FO71" s="7">
        <v>17</v>
      </c>
      <c r="FP71" s="7">
        <v>6</v>
      </c>
      <c r="FQ71" s="7">
        <v>0</v>
      </c>
      <c r="FR71" s="7">
        <v>0</v>
      </c>
      <c r="FS71" s="7">
        <v>1980</v>
      </c>
      <c r="FT71" s="7">
        <v>1</v>
      </c>
      <c r="FU71" s="7">
        <v>0</v>
      </c>
      <c r="FV71" s="7">
        <v>10</v>
      </c>
      <c r="FW71" s="7">
        <v>2127</v>
      </c>
      <c r="FX71" s="7">
        <v>1288</v>
      </c>
      <c r="FY71" s="7">
        <v>19</v>
      </c>
      <c r="FZ71" s="7">
        <v>3</v>
      </c>
      <c r="GA71" s="7">
        <v>0</v>
      </c>
      <c r="GB71" s="7">
        <v>0</v>
      </c>
      <c r="GC71" s="7">
        <v>2102</v>
      </c>
      <c r="GD71" s="7">
        <v>3</v>
      </c>
      <c r="GE71" s="7">
        <v>0</v>
      </c>
      <c r="GF71" s="7">
        <v>11</v>
      </c>
      <c r="GG71" s="7">
        <v>239</v>
      </c>
      <c r="GH71" s="7">
        <v>273</v>
      </c>
      <c r="GI71" s="7">
        <v>317</v>
      </c>
      <c r="GJ71" s="7">
        <v>212</v>
      </c>
      <c r="GK71" s="7">
        <v>127</v>
      </c>
      <c r="GL71" s="7">
        <v>132</v>
      </c>
      <c r="GM71" s="7">
        <v>147</v>
      </c>
      <c r="GN71" s="7">
        <v>120</v>
      </c>
      <c r="GO71" s="7">
        <v>98</v>
      </c>
      <c r="GP71" s="7">
        <v>77</v>
      </c>
      <c r="GQ71" s="7">
        <v>64</v>
      </c>
      <c r="GR71" s="7">
        <v>49</v>
      </c>
      <c r="GS71" s="7">
        <v>39</v>
      </c>
      <c r="GT71" s="7">
        <v>39</v>
      </c>
      <c r="GU71" s="7">
        <v>28</v>
      </c>
      <c r="GV71" s="7">
        <v>25</v>
      </c>
      <c r="GW71" s="7">
        <v>8</v>
      </c>
      <c r="GX71" s="7">
        <v>10</v>
      </c>
      <c r="GY71" s="7">
        <v>266</v>
      </c>
      <c r="GZ71" s="7">
        <v>252</v>
      </c>
      <c r="HA71" s="7">
        <v>321</v>
      </c>
      <c r="HB71" s="7">
        <v>216</v>
      </c>
      <c r="HC71" s="7">
        <v>167</v>
      </c>
      <c r="HD71" s="7">
        <v>177</v>
      </c>
      <c r="HE71" s="7">
        <v>149</v>
      </c>
      <c r="HF71" s="7">
        <v>145</v>
      </c>
      <c r="HG71" s="7">
        <v>77</v>
      </c>
      <c r="HH71" s="7">
        <v>98</v>
      </c>
      <c r="HI71" s="7">
        <v>65</v>
      </c>
      <c r="HJ71" s="7">
        <v>56</v>
      </c>
      <c r="HK71" s="7">
        <v>53</v>
      </c>
      <c r="HL71" s="7">
        <v>35</v>
      </c>
      <c r="HM71" s="7">
        <v>28</v>
      </c>
      <c r="HN71" s="7">
        <v>10</v>
      </c>
      <c r="HO71" s="7">
        <v>9</v>
      </c>
      <c r="HP71" s="7">
        <v>3</v>
      </c>
      <c r="HQ71" s="7">
        <v>1337</v>
      </c>
      <c r="HR71" s="7">
        <v>0</v>
      </c>
      <c r="HS71" s="7">
        <v>0</v>
      </c>
      <c r="HT71" s="7">
        <v>0</v>
      </c>
      <c r="HU71" s="7">
        <v>0</v>
      </c>
      <c r="HV71" s="7">
        <v>0</v>
      </c>
      <c r="HW71" s="7">
        <v>0</v>
      </c>
      <c r="HX71" s="7">
        <v>3</v>
      </c>
      <c r="HY71" s="7">
        <v>61</v>
      </c>
      <c r="HZ71" s="7">
        <v>89</v>
      </c>
      <c r="IA71" s="7">
        <v>162</v>
      </c>
      <c r="IB71" s="7">
        <v>273</v>
      </c>
      <c r="IC71" s="7">
        <v>243</v>
      </c>
      <c r="ID71" s="7">
        <v>196</v>
      </c>
      <c r="IE71" s="7">
        <v>120</v>
      </c>
      <c r="IF71" s="7">
        <v>71</v>
      </c>
      <c r="IG71" s="7">
        <v>125</v>
      </c>
      <c r="IH71" s="7">
        <v>70</v>
      </c>
      <c r="II71" s="7">
        <v>397</v>
      </c>
      <c r="IJ71" s="7">
        <v>429</v>
      </c>
      <c r="IK71" s="7">
        <v>276</v>
      </c>
      <c r="IL71" s="7">
        <v>118</v>
      </c>
      <c r="IM71" s="7">
        <v>23</v>
      </c>
      <c r="IN71" s="7">
        <v>12</v>
      </c>
      <c r="IO71" s="7">
        <v>3</v>
      </c>
      <c r="IP71" s="7">
        <v>2</v>
      </c>
      <c r="IQ71" s="7">
        <v>658</v>
      </c>
      <c r="IR71" s="7">
        <v>489</v>
      </c>
      <c r="IS71" s="7">
        <v>142</v>
      </c>
      <c r="IT71" s="7">
        <v>38</v>
      </c>
      <c r="IU71" s="7">
        <v>6</v>
      </c>
      <c r="IV71" s="7">
        <v>518</v>
      </c>
      <c r="IW71" s="7">
        <v>648</v>
      </c>
      <c r="IX71" s="7">
        <v>6</v>
      </c>
      <c r="IY71" s="7">
        <v>45</v>
      </c>
      <c r="IZ71" s="7">
        <v>0</v>
      </c>
      <c r="JA71" s="7">
        <v>122</v>
      </c>
      <c r="JB71" s="7">
        <v>197</v>
      </c>
      <c r="JC71" s="7">
        <v>899</v>
      </c>
      <c r="JD71" s="7">
        <v>29</v>
      </c>
      <c r="JE71" s="7">
        <v>0</v>
      </c>
      <c r="JF71" s="151">
        <v>1268.5332671489889</v>
      </c>
      <c r="JG71" s="151">
        <v>71.466662937971208</v>
      </c>
      <c r="JH71" s="7">
        <v>160</v>
      </c>
      <c r="JI71" s="7">
        <v>1156</v>
      </c>
      <c r="JJ71" s="7">
        <v>24</v>
      </c>
      <c r="JK71" s="7">
        <v>0</v>
      </c>
      <c r="JL71" s="7">
        <v>617</v>
      </c>
      <c r="JM71" s="7">
        <v>400</v>
      </c>
      <c r="JN71" s="7">
        <v>310</v>
      </c>
      <c r="JO71" s="7">
        <v>786</v>
      </c>
      <c r="JP71" s="7">
        <v>984</v>
      </c>
      <c r="JQ71" s="7">
        <v>24</v>
      </c>
      <c r="JR71" s="7">
        <v>9</v>
      </c>
      <c r="JS71" s="7">
        <v>12</v>
      </c>
      <c r="JT71" s="7">
        <v>6</v>
      </c>
      <c r="JU71" s="151">
        <v>86.031879569351204</v>
      </c>
      <c r="JV71" s="151">
        <v>1126.3767528267201</v>
      </c>
      <c r="JW71" s="151">
        <v>50.104345211947205</v>
      </c>
      <c r="JX71" s="151">
        <v>6.0202895409704009</v>
      </c>
      <c r="JY71" s="7">
        <v>1285</v>
      </c>
      <c r="JZ71" s="7">
        <v>6888</v>
      </c>
      <c r="KA71" s="7">
        <v>0</v>
      </c>
      <c r="KB71" s="7">
        <v>0</v>
      </c>
      <c r="KC71" s="7">
        <v>0</v>
      </c>
      <c r="KD71" s="7">
        <v>0</v>
      </c>
      <c r="KE71" s="7">
        <v>0</v>
      </c>
      <c r="KF71" s="7">
        <v>0</v>
      </c>
      <c r="KG71" s="7">
        <v>12</v>
      </c>
      <c r="KH71" s="7">
        <v>781</v>
      </c>
      <c r="KI71" s="7">
        <v>6015</v>
      </c>
      <c r="KJ71" s="7">
        <v>104</v>
      </c>
      <c r="KK71" s="7">
        <v>0</v>
      </c>
      <c r="KL71" s="7">
        <v>443</v>
      </c>
      <c r="KM71" s="7">
        <v>5800</v>
      </c>
      <c r="KN71" s="7">
        <v>258</v>
      </c>
      <c r="KO71" s="7">
        <v>31</v>
      </c>
      <c r="KP71" s="7">
        <v>6532</v>
      </c>
      <c r="KQ71" s="7">
        <v>368</v>
      </c>
      <c r="KR71" s="7">
        <v>1031</v>
      </c>
      <c r="KS71" s="7">
        <v>1031</v>
      </c>
      <c r="KT71" s="7">
        <v>183</v>
      </c>
      <c r="KU71" s="7">
        <v>76</v>
      </c>
      <c r="KV71" s="7">
        <v>195</v>
      </c>
      <c r="KW71" s="7">
        <v>0</v>
      </c>
      <c r="KX71" s="7">
        <v>168</v>
      </c>
      <c r="KY71" s="7">
        <v>86</v>
      </c>
      <c r="KZ71" s="7">
        <v>171</v>
      </c>
      <c r="LA71" s="7">
        <v>0</v>
      </c>
      <c r="LB71" s="7">
        <v>615</v>
      </c>
      <c r="LC71" s="7">
        <v>650</v>
      </c>
      <c r="LD71" s="7">
        <v>346</v>
      </c>
      <c r="LE71" s="7">
        <v>533</v>
      </c>
      <c r="LF71" s="7">
        <v>4192</v>
      </c>
      <c r="LG71" s="7">
        <v>5</v>
      </c>
      <c r="LH71" s="7">
        <v>1111</v>
      </c>
      <c r="LI71" s="7">
        <v>138</v>
      </c>
      <c r="LJ71" s="7">
        <v>400</v>
      </c>
      <c r="LK71" s="7">
        <v>0</v>
      </c>
      <c r="LL71" s="7">
        <v>131</v>
      </c>
      <c r="LM71" s="7">
        <v>34</v>
      </c>
      <c r="LN71" s="7">
        <v>5</v>
      </c>
      <c r="LO71" s="7">
        <v>1033</v>
      </c>
      <c r="LP71" s="7">
        <v>129</v>
      </c>
      <c r="LQ71" s="7">
        <v>329</v>
      </c>
      <c r="LR71" s="7">
        <v>0</v>
      </c>
      <c r="LS71" s="7">
        <v>131</v>
      </c>
      <c r="LT71" s="7">
        <v>9</v>
      </c>
      <c r="LU71" s="232">
        <v>4.9333812605</v>
      </c>
      <c r="LV71" s="232">
        <v>5.2118483411999996</v>
      </c>
      <c r="LW71" s="232">
        <v>4.6485700436000004</v>
      </c>
      <c r="LX71" s="7">
        <v>1340</v>
      </c>
      <c r="LY71" s="7">
        <v>6900</v>
      </c>
    </row>
    <row r="72" spans="1:337" x14ac:dyDescent="0.25">
      <c r="A72" t="s">
        <v>150</v>
      </c>
      <c r="B72" t="s">
        <v>151</v>
      </c>
      <c r="C72" s="7">
        <v>59875</v>
      </c>
      <c r="D72">
        <v>69119</v>
      </c>
      <c r="F72">
        <f t="shared" si="4"/>
        <v>-69119</v>
      </c>
      <c r="G72">
        <f t="shared" si="5"/>
        <v>-100</v>
      </c>
      <c r="H72">
        <v>34033</v>
      </c>
      <c r="I72">
        <v>35086</v>
      </c>
      <c r="J72">
        <v>23755</v>
      </c>
      <c r="K72">
        <v>45364</v>
      </c>
      <c r="L72" s="7">
        <v>4137</v>
      </c>
      <c r="M72" s="7">
        <v>4461</v>
      </c>
      <c r="N72" s="7">
        <v>4579</v>
      </c>
      <c r="O72" s="7">
        <v>3815</v>
      </c>
      <c r="P72" s="7">
        <v>2692</v>
      </c>
      <c r="Q72" s="7">
        <v>2096</v>
      </c>
      <c r="R72" s="7">
        <v>2136</v>
      </c>
      <c r="S72" s="7">
        <v>1982</v>
      </c>
      <c r="T72" s="7">
        <v>1785</v>
      </c>
      <c r="U72" s="7">
        <v>1464</v>
      </c>
      <c r="V72" s="7">
        <v>1230</v>
      </c>
      <c r="W72" s="7">
        <v>984</v>
      </c>
      <c r="X72" s="7">
        <v>803</v>
      </c>
      <c r="Y72" s="7">
        <v>1834</v>
      </c>
      <c r="Z72" s="7">
        <v>35</v>
      </c>
      <c r="AA72" s="7">
        <v>4110</v>
      </c>
      <c r="AB72" s="7">
        <v>4444</v>
      </c>
      <c r="AC72" s="7">
        <v>4473</v>
      </c>
      <c r="AD72" s="7">
        <v>3947</v>
      </c>
      <c r="AE72" s="7">
        <v>3064</v>
      </c>
      <c r="AF72" s="7">
        <v>2543</v>
      </c>
      <c r="AG72" s="7">
        <v>2365</v>
      </c>
      <c r="AH72" s="7">
        <v>2176</v>
      </c>
      <c r="AI72" s="7">
        <v>1708</v>
      </c>
      <c r="AJ72" s="7">
        <v>1494</v>
      </c>
      <c r="AK72" s="7">
        <v>1243</v>
      </c>
      <c r="AL72" s="7">
        <v>964</v>
      </c>
      <c r="AM72" s="7">
        <v>766</v>
      </c>
      <c r="AN72" s="7">
        <v>1744</v>
      </c>
      <c r="AO72" s="7">
        <v>45</v>
      </c>
      <c r="AP72">
        <v>67834</v>
      </c>
      <c r="AQ72">
        <v>547</v>
      </c>
      <c r="AR72">
        <v>72</v>
      </c>
      <c r="AS72">
        <v>462</v>
      </c>
      <c r="AT72">
        <v>204</v>
      </c>
      <c r="AU72" s="7">
        <v>755</v>
      </c>
      <c r="AV72" s="7">
        <v>466</v>
      </c>
      <c r="AW72" s="7">
        <v>289</v>
      </c>
      <c r="AX72" s="7">
        <v>1244</v>
      </c>
      <c r="AY72" s="7">
        <v>755</v>
      </c>
      <c r="AZ72" s="7">
        <v>529</v>
      </c>
      <c r="BA72" s="7">
        <v>226</v>
      </c>
      <c r="BB72" s="7">
        <v>1</v>
      </c>
      <c r="BC72" s="7">
        <v>2</v>
      </c>
      <c r="BD72" s="7">
        <v>9</v>
      </c>
      <c r="BE72" s="7">
        <v>10</v>
      </c>
      <c r="BF72" s="7">
        <v>7</v>
      </c>
      <c r="BG72" s="7">
        <v>8</v>
      </c>
      <c r="BH72" s="7">
        <v>11</v>
      </c>
      <c r="BI72" s="7">
        <v>7</v>
      </c>
      <c r="BJ72" s="7">
        <v>5</v>
      </c>
      <c r="BK72" s="7">
        <v>17</v>
      </c>
      <c r="BL72" s="7">
        <v>10</v>
      </c>
      <c r="BM72" s="7">
        <v>7</v>
      </c>
      <c r="BN72" s="7">
        <v>16</v>
      </c>
      <c r="BO72" s="7">
        <v>8</v>
      </c>
      <c r="BP72" s="7">
        <v>12</v>
      </c>
      <c r="BQ72" s="7">
        <v>22</v>
      </c>
      <c r="BR72" s="7">
        <v>35</v>
      </c>
      <c r="BS72" s="7">
        <v>13</v>
      </c>
      <c r="BT72" s="7">
        <v>42</v>
      </c>
      <c r="BU72" s="7">
        <v>15</v>
      </c>
      <c r="BV72" s="7">
        <v>37</v>
      </c>
      <c r="BW72" s="7">
        <v>5</v>
      </c>
      <c r="BX72" s="7">
        <v>37</v>
      </c>
      <c r="BY72" s="7">
        <v>17</v>
      </c>
      <c r="BZ72" s="7">
        <v>39</v>
      </c>
      <c r="CA72" s="7">
        <v>20</v>
      </c>
      <c r="CB72" s="7">
        <v>205</v>
      </c>
      <c r="CC72" s="7">
        <v>138</v>
      </c>
      <c r="CD72" s="7">
        <v>413</v>
      </c>
      <c r="CE72" s="7">
        <v>249</v>
      </c>
      <c r="CF72" s="7">
        <v>0</v>
      </c>
      <c r="CG72" s="7">
        <v>3</v>
      </c>
      <c r="CH72" s="7">
        <v>11220</v>
      </c>
      <c r="CI72" s="7">
        <v>2562</v>
      </c>
      <c r="CJ72" s="7">
        <v>58582</v>
      </c>
      <c r="CK72" s="7">
        <v>10489</v>
      </c>
      <c r="CL72" s="7">
        <v>725</v>
      </c>
      <c r="CM72" s="7">
        <v>1248</v>
      </c>
      <c r="CN72" s="7">
        <v>1883</v>
      </c>
      <c r="CO72" s="7">
        <v>2543</v>
      </c>
      <c r="CP72" s="7">
        <v>2337</v>
      </c>
      <c r="CQ72" s="7">
        <v>5046</v>
      </c>
      <c r="CR72" s="7">
        <v>10363</v>
      </c>
      <c r="CS72" s="7">
        <v>33953</v>
      </c>
      <c r="CT72" s="7">
        <v>5673</v>
      </c>
      <c r="CU72" s="7">
        <v>1792</v>
      </c>
      <c r="CV72" s="7">
        <v>882</v>
      </c>
      <c r="CW72" s="7">
        <v>2072</v>
      </c>
      <c r="CX72" s="7">
        <v>268</v>
      </c>
      <c r="CY72" s="7">
        <v>38787</v>
      </c>
      <c r="CZ72" s="7">
        <v>26988</v>
      </c>
      <c r="DA72" s="7">
        <v>888</v>
      </c>
      <c r="DB72" s="7">
        <v>725</v>
      </c>
      <c r="DC72" s="7">
        <v>95</v>
      </c>
      <c r="DD72" s="7">
        <v>22451</v>
      </c>
      <c r="DE72" s="7">
        <v>11596</v>
      </c>
      <c r="DF72" s="7">
        <v>11317</v>
      </c>
      <c r="DG72" s="7">
        <v>0</v>
      </c>
      <c r="DH72" s="7">
        <v>0</v>
      </c>
      <c r="DI72" s="7">
        <v>23755</v>
      </c>
      <c r="DJ72" s="7">
        <v>0</v>
      </c>
      <c r="DK72" s="7">
        <v>0</v>
      </c>
      <c r="DL72" s="7">
        <v>316</v>
      </c>
      <c r="DM72" s="7">
        <v>35</v>
      </c>
      <c r="DN72" s="7">
        <v>16</v>
      </c>
      <c r="DO72" s="7">
        <v>0</v>
      </c>
      <c r="DP72" s="7">
        <v>0</v>
      </c>
      <c r="DQ72" s="7">
        <v>1</v>
      </c>
      <c r="DR72" s="7">
        <v>0</v>
      </c>
      <c r="DS72" s="7">
        <v>0</v>
      </c>
      <c r="DT72" s="7">
        <v>688</v>
      </c>
      <c r="DU72" s="7">
        <v>660</v>
      </c>
      <c r="DV72" s="7">
        <v>246</v>
      </c>
      <c r="DW72" s="7">
        <v>207</v>
      </c>
      <c r="DX72" s="7">
        <v>111</v>
      </c>
      <c r="DY72" s="7">
        <v>89</v>
      </c>
      <c r="DZ72" s="7">
        <v>105</v>
      </c>
      <c r="EA72" s="7">
        <v>99</v>
      </c>
      <c r="EB72" s="7">
        <v>43</v>
      </c>
      <c r="EC72" s="7">
        <v>44</v>
      </c>
      <c r="ED72" s="7">
        <v>24</v>
      </c>
      <c r="EE72" s="7">
        <v>31</v>
      </c>
      <c r="EF72" s="7">
        <v>94</v>
      </c>
      <c r="EG72" s="7">
        <v>61</v>
      </c>
      <c r="EH72" s="7">
        <v>1123</v>
      </c>
      <c r="EI72" s="7">
        <v>303</v>
      </c>
      <c r="EJ72" s="7">
        <v>124</v>
      </c>
      <c r="EK72" s="7">
        <v>112</v>
      </c>
      <c r="EL72" s="7">
        <v>56</v>
      </c>
      <c r="EM72" s="7">
        <v>34</v>
      </c>
      <c r="EN72" s="7">
        <v>65</v>
      </c>
      <c r="EO72" s="7">
        <v>18165</v>
      </c>
      <c r="EP72" s="7">
        <v>17762</v>
      </c>
      <c r="EQ72" s="7">
        <v>403</v>
      </c>
      <c r="ER72" s="7">
        <v>5258</v>
      </c>
      <c r="ES72" s="7">
        <v>3632</v>
      </c>
      <c r="ET72" s="7">
        <v>3529</v>
      </c>
      <c r="EU72" s="7">
        <v>103</v>
      </c>
      <c r="EV72" s="7">
        <v>20942</v>
      </c>
      <c r="EW72" s="134">
        <v>53.843517429999999</v>
      </c>
      <c r="EX72" s="134">
        <v>10.619858989000001</v>
      </c>
      <c r="EY72" s="134">
        <v>14.389933412</v>
      </c>
      <c r="EZ72" s="134">
        <v>20.730513122000001</v>
      </c>
      <c r="FA72" s="134">
        <v>0.41617704659999999</v>
      </c>
      <c r="FB72" s="7">
        <v>1664</v>
      </c>
      <c r="FC72" s="7">
        <v>12175</v>
      </c>
      <c r="FD72" s="7">
        <v>632</v>
      </c>
      <c r="FE72" s="7">
        <v>3504</v>
      </c>
      <c r="FF72" s="7">
        <v>7</v>
      </c>
      <c r="FG72" s="7">
        <v>2158</v>
      </c>
      <c r="FH72" s="7">
        <v>1595</v>
      </c>
      <c r="FI72" s="134">
        <v>63.890520956000003</v>
      </c>
      <c r="FJ72" s="134">
        <v>18.424402663999999</v>
      </c>
      <c r="FK72" s="134">
        <v>14.717978848</v>
      </c>
      <c r="FL72" s="134">
        <v>2.9670975323</v>
      </c>
      <c r="FM72" s="151">
        <v>19703</v>
      </c>
      <c r="FN72" s="151">
        <v>14199</v>
      </c>
      <c r="FO72" s="7">
        <v>3582</v>
      </c>
      <c r="FP72" s="7">
        <v>887</v>
      </c>
      <c r="FQ72" s="7">
        <v>249</v>
      </c>
      <c r="FR72" s="7">
        <v>8</v>
      </c>
      <c r="FS72" s="7">
        <v>13869</v>
      </c>
      <c r="FT72" s="7">
        <v>29</v>
      </c>
      <c r="FU72" s="7">
        <v>1214</v>
      </c>
      <c r="FV72" s="7">
        <v>131</v>
      </c>
      <c r="FW72" s="7">
        <v>21410</v>
      </c>
      <c r="FX72" s="7">
        <v>13535</v>
      </c>
      <c r="FY72" s="7">
        <v>3820</v>
      </c>
      <c r="FZ72" s="7">
        <v>950</v>
      </c>
      <c r="GA72" s="7">
        <v>290</v>
      </c>
      <c r="GB72" s="7">
        <v>7</v>
      </c>
      <c r="GC72" s="7">
        <v>15207</v>
      </c>
      <c r="GD72" s="7">
        <v>39</v>
      </c>
      <c r="GE72" s="7">
        <v>1266</v>
      </c>
      <c r="GF72" s="7">
        <v>141</v>
      </c>
      <c r="GG72" s="7">
        <v>2352</v>
      </c>
      <c r="GH72" s="7">
        <v>2685</v>
      </c>
      <c r="GI72" s="7">
        <v>2770</v>
      </c>
      <c r="GJ72" s="7">
        <v>2127</v>
      </c>
      <c r="GK72" s="7">
        <v>1276</v>
      </c>
      <c r="GL72" s="7">
        <v>1115</v>
      </c>
      <c r="GM72" s="7">
        <v>1245</v>
      </c>
      <c r="GN72" s="7">
        <v>1195</v>
      </c>
      <c r="GO72" s="7">
        <v>1109</v>
      </c>
      <c r="GP72" s="7">
        <v>896</v>
      </c>
      <c r="GQ72" s="7">
        <v>729</v>
      </c>
      <c r="GR72" s="7">
        <v>556</v>
      </c>
      <c r="GS72" s="7">
        <v>446</v>
      </c>
      <c r="GT72" s="7">
        <v>387</v>
      </c>
      <c r="GU72" s="7">
        <v>345</v>
      </c>
      <c r="GV72" s="7">
        <v>233</v>
      </c>
      <c r="GW72" s="7">
        <v>133</v>
      </c>
      <c r="GX72" s="7">
        <v>97</v>
      </c>
      <c r="GY72" s="7">
        <v>2340</v>
      </c>
      <c r="GZ72" s="7">
        <v>2658</v>
      </c>
      <c r="HA72" s="7">
        <v>2665</v>
      </c>
      <c r="HB72" s="7">
        <v>2281</v>
      </c>
      <c r="HC72" s="7">
        <v>1694</v>
      </c>
      <c r="HD72" s="7">
        <v>1551</v>
      </c>
      <c r="HE72" s="7">
        <v>1573</v>
      </c>
      <c r="HF72" s="7">
        <v>1422</v>
      </c>
      <c r="HG72" s="7">
        <v>1131</v>
      </c>
      <c r="HH72" s="7">
        <v>996</v>
      </c>
      <c r="HI72" s="7">
        <v>803</v>
      </c>
      <c r="HJ72" s="7">
        <v>618</v>
      </c>
      <c r="HK72" s="7">
        <v>466</v>
      </c>
      <c r="HL72" s="7">
        <v>392</v>
      </c>
      <c r="HM72" s="7">
        <v>350</v>
      </c>
      <c r="HN72" s="7">
        <v>213</v>
      </c>
      <c r="HO72" s="7">
        <v>112</v>
      </c>
      <c r="HP72" s="7">
        <v>128</v>
      </c>
      <c r="HQ72" s="7">
        <v>13705</v>
      </c>
      <c r="HR72" s="7">
        <v>6</v>
      </c>
      <c r="HS72" s="7">
        <v>27</v>
      </c>
      <c r="HT72" s="7">
        <v>2</v>
      </c>
      <c r="HU72" s="7">
        <v>4</v>
      </c>
      <c r="HV72" s="7">
        <v>1</v>
      </c>
      <c r="HW72" s="7">
        <v>1</v>
      </c>
      <c r="HX72" s="7">
        <v>52</v>
      </c>
      <c r="HY72" s="7">
        <v>723</v>
      </c>
      <c r="HZ72" s="7">
        <v>1248</v>
      </c>
      <c r="IA72" s="7">
        <v>1883</v>
      </c>
      <c r="IB72" s="7">
        <v>2542</v>
      </c>
      <c r="IC72" s="7">
        <v>2337</v>
      </c>
      <c r="ID72" s="7">
        <v>1960</v>
      </c>
      <c r="IE72" s="7">
        <v>1061</v>
      </c>
      <c r="IF72" s="7">
        <v>798</v>
      </c>
      <c r="IG72" s="7">
        <v>1224</v>
      </c>
      <c r="IH72" s="7">
        <v>1082</v>
      </c>
      <c r="II72" s="7">
        <v>4207</v>
      </c>
      <c r="IJ72" s="7">
        <v>3946</v>
      </c>
      <c r="IK72" s="7">
        <v>2415</v>
      </c>
      <c r="IL72" s="7">
        <v>1116</v>
      </c>
      <c r="IM72" s="7">
        <v>538</v>
      </c>
      <c r="IN72" s="7">
        <v>190</v>
      </c>
      <c r="IO72" s="7">
        <v>120</v>
      </c>
      <c r="IP72" s="7">
        <v>95</v>
      </c>
      <c r="IQ72" s="7">
        <v>6451</v>
      </c>
      <c r="IR72" s="7">
        <v>4895</v>
      </c>
      <c r="IS72" s="7">
        <v>1712</v>
      </c>
      <c r="IT72" s="7">
        <v>506</v>
      </c>
      <c r="IU72" s="7">
        <v>156</v>
      </c>
      <c r="IV72" s="7">
        <v>4808</v>
      </c>
      <c r="IW72" s="7">
        <v>5300</v>
      </c>
      <c r="IX72" s="7">
        <v>498</v>
      </c>
      <c r="IY72" s="7">
        <v>121</v>
      </c>
      <c r="IZ72" s="7">
        <v>11</v>
      </c>
      <c r="JA72" s="7">
        <v>2962</v>
      </c>
      <c r="JB72" s="7">
        <v>5822</v>
      </c>
      <c r="JC72" s="7">
        <v>6113</v>
      </c>
      <c r="JD72" s="7">
        <v>412</v>
      </c>
      <c r="JE72" s="7">
        <v>477</v>
      </c>
      <c r="JF72" s="151">
        <v>13263.012298066795</v>
      </c>
      <c r="JG72" s="151">
        <v>440.77018454083873</v>
      </c>
      <c r="JH72" s="7">
        <v>2180</v>
      </c>
      <c r="JI72" s="7">
        <v>10674</v>
      </c>
      <c r="JJ72" s="7">
        <v>856</v>
      </c>
      <c r="JK72" s="7">
        <v>66</v>
      </c>
      <c r="JL72" s="7">
        <v>7412</v>
      </c>
      <c r="JM72" s="7">
        <v>3336</v>
      </c>
      <c r="JN72" s="7">
        <v>2287</v>
      </c>
      <c r="JO72" s="7">
        <v>10318</v>
      </c>
      <c r="JP72" s="7">
        <v>10230</v>
      </c>
      <c r="JQ72" s="7">
        <v>996</v>
      </c>
      <c r="JR72" s="7">
        <v>1709</v>
      </c>
      <c r="JS72" s="7">
        <v>4699</v>
      </c>
      <c r="JT72" s="7">
        <v>420</v>
      </c>
      <c r="JU72" s="151">
        <v>1195.4070509661226</v>
      </c>
      <c r="JV72" s="151">
        <v>11039.80659586941</v>
      </c>
      <c r="JW72" s="151">
        <v>973.32592131743388</v>
      </c>
      <c r="JX72" s="151">
        <v>54.472729913829326</v>
      </c>
      <c r="JY72" s="7">
        <v>13489</v>
      </c>
      <c r="JZ72" s="7">
        <v>68747</v>
      </c>
      <c r="KA72" s="7">
        <v>18</v>
      </c>
      <c r="KB72" s="7">
        <v>101</v>
      </c>
      <c r="KC72" s="7">
        <v>3</v>
      </c>
      <c r="KD72" s="7">
        <v>15</v>
      </c>
      <c r="KE72" s="7">
        <v>7</v>
      </c>
      <c r="KF72" s="7">
        <v>6</v>
      </c>
      <c r="KG72" s="7">
        <v>222</v>
      </c>
      <c r="KH72" s="7">
        <v>11962</v>
      </c>
      <c r="KI72" s="7">
        <v>53022</v>
      </c>
      <c r="KJ72" s="7">
        <v>3687</v>
      </c>
      <c r="KK72" s="7">
        <v>372</v>
      </c>
      <c r="KL72" s="7">
        <v>5991</v>
      </c>
      <c r="KM72" s="7">
        <v>55328</v>
      </c>
      <c r="KN72" s="7">
        <v>4878</v>
      </c>
      <c r="KO72" s="7">
        <v>273</v>
      </c>
      <c r="KP72" s="7">
        <v>66470</v>
      </c>
      <c r="KQ72" s="7">
        <v>2209</v>
      </c>
      <c r="KR72" s="7">
        <v>10892</v>
      </c>
      <c r="KS72" s="7">
        <v>10892</v>
      </c>
      <c r="KT72" s="7">
        <v>2116</v>
      </c>
      <c r="KU72" s="7">
        <v>795</v>
      </c>
      <c r="KV72" s="7">
        <v>1897</v>
      </c>
      <c r="KW72" s="7">
        <v>1</v>
      </c>
      <c r="KX72" s="7">
        <v>2131</v>
      </c>
      <c r="KY72" s="7">
        <v>732</v>
      </c>
      <c r="KZ72" s="7">
        <v>1905</v>
      </c>
      <c r="LA72" s="7">
        <v>3</v>
      </c>
      <c r="LB72" s="7">
        <v>6587</v>
      </c>
      <c r="LC72" s="7">
        <v>6628</v>
      </c>
      <c r="LD72" s="7">
        <v>1635</v>
      </c>
      <c r="LE72" s="7">
        <v>3574</v>
      </c>
      <c r="LF72" s="7">
        <v>42835</v>
      </c>
      <c r="LG72" s="7">
        <v>49</v>
      </c>
      <c r="LH72" s="7">
        <v>11222</v>
      </c>
      <c r="LI72" s="7">
        <v>1107</v>
      </c>
      <c r="LJ72" s="7">
        <v>3358</v>
      </c>
      <c r="LK72" s="7">
        <v>5</v>
      </c>
      <c r="LL72" s="7">
        <v>2219</v>
      </c>
      <c r="LM72" s="7">
        <v>1230</v>
      </c>
      <c r="LN72" s="7">
        <v>77</v>
      </c>
      <c r="LO72" s="7">
        <v>11087</v>
      </c>
      <c r="LP72" s="7">
        <v>964</v>
      </c>
      <c r="LQ72" s="7">
        <v>3311</v>
      </c>
      <c r="LR72" s="7">
        <v>14</v>
      </c>
      <c r="LS72" s="7">
        <v>2421</v>
      </c>
      <c r="LT72" s="7">
        <v>983</v>
      </c>
      <c r="LU72" s="232">
        <v>6.0672328046999997</v>
      </c>
      <c r="LV72" s="232">
        <v>6.3413257429999996</v>
      </c>
      <c r="LW72" s="232">
        <v>5.8078082192</v>
      </c>
      <c r="LX72" s="7">
        <v>13776</v>
      </c>
      <c r="LY72" s="7">
        <v>69043</v>
      </c>
    </row>
    <row r="73" spans="1:337" x14ac:dyDescent="0.25">
      <c r="A73" t="s">
        <v>152</v>
      </c>
      <c r="B73" t="s">
        <v>153</v>
      </c>
      <c r="C73" s="7">
        <v>3135</v>
      </c>
      <c r="D73">
        <v>4317</v>
      </c>
      <c r="F73">
        <f t="shared" si="4"/>
        <v>-4317</v>
      </c>
      <c r="G73">
        <f t="shared" si="5"/>
        <v>-100</v>
      </c>
      <c r="H73">
        <v>2226</v>
      </c>
      <c r="I73">
        <v>2091</v>
      </c>
      <c r="J73">
        <v>4277</v>
      </c>
      <c r="K73">
        <v>40</v>
      </c>
      <c r="L73" s="7">
        <v>298</v>
      </c>
      <c r="M73" s="7">
        <v>302</v>
      </c>
      <c r="N73" s="7">
        <v>265</v>
      </c>
      <c r="O73" s="7">
        <v>225</v>
      </c>
      <c r="P73" s="7">
        <v>194</v>
      </c>
      <c r="Q73" s="7">
        <v>169</v>
      </c>
      <c r="R73" s="7">
        <v>158</v>
      </c>
      <c r="S73" s="7">
        <v>139</v>
      </c>
      <c r="T73" s="7">
        <v>91</v>
      </c>
      <c r="U73" s="7">
        <v>77</v>
      </c>
      <c r="V73" s="7">
        <v>75</v>
      </c>
      <c r="W73" s="7">
        <v>53</v>
      </c>
      <c r="X73" s="7">
        <v>33</v>
      </c>
      <c r="Y73" s="7">
        <v>106</v>
      </c>
      <c r="Z73" s="7">
        <v>41</v>
      </c>
      <c r="AA73" s="7">
        <v>260</v>
      </c>
      <c r="AB73" s="7">
        <v>314</v>
      </c>
      <c r="AC73" s="7">
        <v>259</v>
      </c>
      <c r="AD73" s="7">
        <v>224</v>
      </c>
      <c r="AE73" s="7">
        <v>177</v>
      </c>
      <c r="AF73" s="7">
        <v>155</v>
      </c>
      <c r="AG73" s="7">
        <v>159</v>
      </c>
      <c r="AH73" s="7">
        <v>106</v>
      </c>
      <c r="AI73" s="7">
        <v>89</v>
      </c>
      <c r="AJ73" s="7">
        <v>84</v>
      </c>
      <c r="AK73" s="7">
        <v>57</v>
      </c>
      <c r="AL73" s="7">
        <v>53</v>
      </c>
      <c r="AM73" s="7">
        <v>30</v>
      </c>
      <c r="AN73" s="7">
        <v>82</v>
      </c>
      <c r="AO73" s="7">
        <v>42</v>
      </c>
      <c r="AP73">
        <v>4232</v>
      </c>
      <c r="AQ73">
        <v>2</v>
      </c>
      <c r="AR73">
        <v>1</v>
      </c>
      <c r="AS73" t="s">
        <v>358</v>
      </c>
      <c r="AT73">
        <v>82</v>
      </c>
      <c r="AU73" s="7">
        <v>53</v>
      </c>
      <c r="AV73" s="7">
        <v>31</v>
      </c>
      <c r="AW73" s="7">
        <v>22</v>
      </c>
      <c r="AX73" s="7" t="s">
        <v>390</v>
      </c>
      <c r="AY73" s="7">
        <v>53</v>
      </c>
      <c r="AZ73" s="7">
        <v>38</v>
      </c>
      <c r="BA73" s="7">
        <v>15</v>
      </c>
      <c r="BB73" s="7">
        <v>1</v>
      </c>
      <c r="BC73" s="7">
        <v>0</v>
      </c>
      <c r="BD73" s="7">
        <v>3</v>
      </c>
      <c r="BE73" s="7">
        <v>0</v>
      </c>
      <c r="BF73" s="7">
        <v>2</v>
      </c>
      <c r="BG73" s="7">
        <v>4</v>
      </c>
      <c r="BH73" s="7">
        <v>2</v>
      </c>
      <c r="BI73" s="7">
        <v>3</v>
      </c>
      <c r="BJ73" s="7">
        <v>2</v>
      </c>
      <c r="BK73" s="7">
        <v>1</v>
      </c>
      <c r="BL73" s="7">
        <v>3</v>
      </c>
      <c r="BM73" s="7">
        <v>2</v>
      </c>
      <c r="BN73" s="7">
        <v>5</v>
      </c>
      <c r="BO73" s="7">
        <v>1</v>
      </c>
      <c r="BP73" s="7">
        <v>1</v>
      </c>
      <c r="BQ73" s="7">
        <v>1</v>
      </c>
      <c r="BR73" s="7">
        <v>3</v>
      </c>
      <c r="BS73" s="7">
        <v>1</v>
      </c>
      <c r="BT73" s="7">
        <v>1</v>
      </c>
      <c r="BU73" s="7">
        <v>2</v>
      </c>
      <c r="BV73" s="7">
        <v>1</v>
      </c>
      <c r="BW73" s="7">
        <v>2</v>
      </c>
      <c r="BX73" s="7">
        <v>3</v>
      </c>
      <c r="BY73" s="7">
        <v>0</v>
      </c>
      <c r="BZ73" s="7">
        <v>0</v>
      </c>
      <c r="CA73" s="7">
        <v>2</v>
      </c>
      <c r="CB73" s="7">
        <v>5</v>
      </c>
      <c r="CC73" s="7">
        <v>3</v>
      </c>
      <c r="CD73" s="7">
        <v>12</v>
      </c>
      <c r="CE73" s="7">
        <v>7</v>
      </c>
      <c r="CF73" s="7">
        <v>18</v>
      </c>
      <c r="CG73" s="7">
        <v>15</v>
      </c>
      <c r="CH73" s="7">
        <v>843</v>
      </c>
      <c r="CI73" s="7">
        <v>52</v>
      </c>
      <c r="CJ73" s="7">
        <v>4053</v>
      </c>
      <c r="CK73" s="7">
        <v>183</v>
      </c>
      <c r="CL73" s="7">
        <v>30</v>
      </c>
      <c r="CM73" s="7">
        <v>95</v>
      </c>
      <c r="CN73" s="7">
        <v>129</v>
      </c>
      <c r="CO73" s="7">
        <v>165</v>
      </c>
      <c r="CP73" s="7">
        <v>190</v>
      </c>
      <c r="CQ73" s="7">
        <v>286</v>
      </c>
      <c r="CR73" s="7">
        <v>808</v>
      </c>
      <c r="CS73" s="7">
        <v>2168</v>
      </c>
      <c r="CT73" s="7">
        <v>148</v>
      </c>
      <c r="CU73" s="7">
        <v>102</v>
      </c>
      <c r="CV73" s="7">
        <v>37</v>
      </c>
      <c r="CW73" s="7">
        <v>63</v>
      </c>
      <c r="CX73" s="7">
        <v>0</v>
      </c>
      <c r="CY73" s="7">
        <v>3041</v>
      </c>
      <c r="CZ73" s="7">
        <v>1085</v>
      </c>
      <c r="DA73" s="7">
        <v>0</v>
      </c>
      <c r="DB73" s="7">
        <v>30</v>
      </c>
      <c r="DC73" s="7">
        <v>0</v>
      </c>
      <c r="DD73" s="7">
        <v>40</v>
      </c>
      <c r="DE73" s="7">
        <v>0</v>
      </c>
      <c r="DF73" s="7">
        <v>0</v>
      </c>
      <c r="DG73" s="7">
        <v>4277</v>
      </c>
      <c r="DH73" s="7">
        <v>0</v>
      </c>
      <c r="DI73" s="7">
        <v>0</v>
      </c>
      <c r="DJ73" s="7">
        <v>0</v>
      </c>
      <c r="DK73" s="7">
        <v>0</v>
      </c>
      <c r="DL73" s="7">
        <v>2</v>
      </c>
      <c r="DM73" s="7">
        <v>0</v>
      </c>
      <c r="DN73" s="7">
        <v>0</v>
      </c>
      <c r="DO73" s="7">
        <v>1</v>
      </c>
      <c r="DP73" s="7">
        <v>0</v>
      </c>
      <c r="DQ73" s="7">
        <v>0</v>
      </c>
      <c r="DR73" s="7">
        <v>0</v>
      </c>
      <c r="DS73" s="7">
        <v>0</v>
      </c>
      <c r="DT73" s="7">
        <v>48</v>
      </c>
      <c r="DU73" s="7">
        <v>28</v>
      </c>
      <c r="DV73" s="7">
        <v>10</v>
      </c>
      <c r="DW73" s="7">
        <v>11</v>
      </c>
      <c r="DX73" s="7">
        <v>11</v>
      </c>
      <c r="DY73" s="7">
        <v>7</v>
      </c>
      <c r="DZ73" s="7">
        <v>10</v>
      </c>
      <c r="EA73" s="7">
        <v>4</v>
      </c>
      <c r="EB73" s="7">
        <v>3</v>
      </c>
      <c r="EC73" s="7">
        <v>4</v>
      </c>
      <c r="ED73" s="7">
        <v>6</v>
      </c>
      <c r="EE73" s="7">
        <v>0</v>
      </c>
      <c r="EF73" s="7">
        <v>8</v>
      </c>
      <c r="EG73" s="7">
        <v>3</v>
      </c>
      <c r="EH73" s="7">
        <v>47</v>
      </c>
      <c r="EI73" s="7">
        <v>15</v>
      </c>
      <c r="EJ73" s="7">
        <v>10</v>
      </c>
      <c r="EK73" s="7">
        <v>4</v>
      </c>
      <c r="EL73" s="7">
        <v>4</v>
      </c>
      <c r="EM73" s="7">
        <v>2</v>
      </c>
      <c r="EN73" s="7">
        <v>4</v>
      </c>
      <c r="EO73" s="7">
        <v>1148</v>
      </c>
      <c r="EP73" s="7">
        <v>1022</v>
      </c>
      <c r="EQ73" s="7">
        <v>126</v>
      </c>
      <c r="ER73" s="7">
        <v>310</v>
      </c>
      <c r="ES73" s="7">
        <v>99</v>
      </c>
      <c r="ET73" s="7">
        <v>95</v>
      </c>
      <c r="EU73" s="7">
        <v>4</v>
      </c>
      <c r="EV73" s="7">
        <v>1263</v>
      </c>
      <c r="EW73" s="134">
        <v>87.114337567999996</v>
      </c>
      <c r="EX73" s="134">
        <v>3.0852994555</v>
      </c>
      <c r="EY73" s="134">
        <v>5.2631578947</v>
      </c>
      <c r="EZ73" s="134">
        <v>3.4482758621</v>
      </c>
      <c r="FA73" s="134">
        <v>1.0889292196</v>
      </c>
      <c r="FB73" s="7">
        <v>238</v>
      </c>
      <c r="FC73" s="7">
        <v>711</v>
      </c>
      <c r="FD73" s="7">
        <v>45</v>
      </c>
      <c r="FE73" s="7">
        <v>169</v>
      </c>
      <c r="FF73" s="7">
        <v>0</v>
      </c>
      <c r="FG73" s="7">
        <v>76</v>
      </c>
      <c r="FH73" s="7">
        <v>7</v>
      </c>
      <c r="FI73" s="134">
        <v>69.328493648000006</v>
      </c>
      <c r="FJ73" s="134">
        <v>11.978221416</v>
      </c>
      <c r="FK73" s="134">
        <v>3.7205081670000002</v>
      </c>
      <c r="FL73" s="134">
        <v>14.972776769999999</v>
      </c>
      <c r="FM73" s="151">
        <v>1067</v>
      </c>
      <c r="FN73" s="151">
        <v>1092</v>
      </c>
      <c r="FO73" s="7">
        <v>17</v>
      </c>
      <c r="FP73" s="7">
        <v>3</v>
      </c>
      <c r="FQ73" s="7">
        <v>2</v>
      </c>
      <c r="FR73" s="7">
        <v>1</v>
      </c>
      <c r="FS73" s="7">
        <v>1040</v>
      </c>
      <c r="FT73" s="7">
        <v>3</v>
      </c>
      <c r="FU73" s="7">
        <v>1</v>
      </c>
      <c r="FV73" s="7">
        <v>67</v>
      </c>
      <c r="FW73" s="7">
        <v>1031</v>
      </c>
      <c r="FX73" s="7">
        <v>992</v>
      </c>
      <c r="FY73" s="7">
        <v>16</v>
      </c>
      <c r="FZ73" s="7">
        <v>5</v>
      </c>
      <c r="GA73" s="7">
        <v>4</v>
      </c>
      <c r="GB73" s="7">
        <v>1</v>
      </c>
      <c r="GC73" s="7">
        <v>1002</v>
      </c>
      <c r="GD73" s="7">
        <v>3</v>
      </c>
      <c r="GE73" s="7">
        <v>1</v>
      </c>
      <c r="GF73" s="7">
        <v>68</v>
      </c>
      <c r="GG73" s="7">
        <v>157</v>
      </c>
      <c r="GH73" s="7">
        <v>153</v>
      </c>
      <c r="GI73" s="7">
        <v>133</v>
      </c>
      <c r="GJ73" s="7">
        <v>103</v>
      </c>
      <c r="GK73" s="7">
        <v>82</v>
      </c>
      <c r="GL73" s="7">
        <v>84</v>
      </c>
      <c r="GM73" s="7">
        <v>72</v>
      </c>
      <c r="GN73" s="7">
        <v>80</v>
      </c>
      <c r="GO73" s="7">
        <v>39</v>
      </c>
      <c r="GP73" s="7">
        <v>41</v>
      </c>
      <c r="GQ73" s="7">
        <v>33</v>
      </c>
      <c r="GR73" s="7">
        <v>23</v>
      </c>
      <c r="GS73" s="7">
        <v>15</v>
      </c>
      <c r="GT73" s="7">
        <v>13</v>
      </c>
      <c r="GU73" s="7">
        <v>12</v>
      </c>
      <c r="GV73" s="7">
        <v>14</v>
      </c>
      <c r="GW73" s="7">
        <v>6</v>
      </c>
      <c r="GX73" s="7">
        <v>7</v>
      </c>
      <c r="GY73" s="7">
        <v>126</v>
      </c>
      <c r="GZ73" s="7">
        <v>166</v>
      </c>
      <c r="HA73" s="7">
        <v>134</v>
      </c>
      <c r="HB73" s="7">
        <v>99</v>
      </c>
      <c r="HC73" s="7">
        <v>96</v>
      </c>
      <c r="HD73" s="7">
        <v>79</v>
      </c>
      <c r="HE73" s="7">
        <v>91</v>
      </c>
      <c r="HF73" s="7">
        <v>55</v>
      </c>
      <c r="HG73" s="7">
        <v>49</v>
      </c>
      <c r="HH73" s="7">
        <v>36</v>
      </c>
      <c r="HI73" s="7">
        <v>23</v>
      </c>
      <c r="HJ73" s="7">
        <v>25</v>
      </c>
      <c r="HK73" s="7">
        <v>15</v>
      </c>
      <c r="HL73" s="7">
        <v>14</v>
      </c>
      <c r="HM73" s="7">
        <v>11</v>
      </c>
      <c r="HN73" s="7">
        <v>6</v>
      </c>
      <c r="HO73" s="7">
        <v>3</v>
      </c>
      <c r="HP73" s="7">
        <v>2</v>
      </c>
      <c r="HQ73" s="7">
        <v>890</v>
      </c>
      <c r="HR73" s="7">
        <v>2</v>
      </c>
      <c r="HS73" s="7">
        <v>0</v>
      </c>
      <c r="HT73" s="7">
        <v>0</v>
      </c>
      <c r="HU73" s="7">
        <v>0</v>
      </c>
      <c r="HV73" s="7">
        <v>0</v>
      </c>
      <c r="HW73" s="7">
        <v>0</v>
      </c>
      <c r="HX73" s="7">
        <v>30</v>
      </c>
      <c r="HY73" s="7">
        <v>30</v>
      </c>
      <c r="HZ73" s="7">
        <v>95</v>
      </c>
      <c r="IA73" s="7">
        <v>129</v>
      </c>
      <c r="IB73" s="7">
        <v>165</v>
      </c>
      <c r="IC73" s="7">
        <v>190</v>
      </c>
      <c r="ID73" s="7">
        <v>134</v>
      </c>
      <c r="IE73" s="7">
        <v>75</v>
      </c>
      <c r="IF73" s="7">
        <v>42</v>
      </c>
      <c r="IG73" s="7">
        <v>35</v>
      </c>
      <c r="IH73" s="7">
        <v>189</v>
      </c>
      <c r="II73" s="7">
        <v>354</v>
      </c>
      <c r="IJ73" s="7">
        <v>232</v>
      </c>
      <c r="IK73" s="7">
        <v>89</v>
      </c>
      <c r="IL73" s="7">
        <v>14</v>
      </c>
      <c r="IM73" s="7">
        <v>6</v>
      </c>
      <c r="IN73" s="7">
        <v>0</v>
      </c>
      <c r="IO73" s="7">
        <v>0</v>
      </c>
      <c r="IP73" s="7">
        <v>1</v>
      </c>
      <c r="IQ73" s="7">
        <v>602</v>
      </c>
      <c r="IR73" s="7">
        <v>229</v>
      </c>
      <c r="IS73" s="7">
        <v>46</v>
      </c>
      <c r="IT73" s="7">
        <v>7</v>
      </c>
      <c r="IU73" s="7">
        <v>2</v>
      </c>
      <c r="IV73" s="7">
        <v>342</v>
      </c>
      <c r="IW73" s="7">
        <v>500</v>
      </c>
      <c r="IX73" s="7">
        <v>1</v>
      </c>
      <c r="IY73" s="7">
        <v>34</v>
      </c>
      <c r="IZ73" s="7">
        <v>0</v>
      </c>
      <c r="JA73" s="7">
        <v>12</v>
      </c>
      <c r="JB73" s="7">
        <v>825</v>
      </c>
      <c r="JC73" s="7">
        <v>9</v>
      </c>
      <c r="JD73" s="7">
        <v>3</v>
      </c>
      <c r="JE73" s="7">
        <v>0</v>
      </c>
      <c r="JF73" s="151">
        <v>827.38902771436312</v>
      </c>
      <c r="JG73" s="151">
        <v>62.751415023280344</v>
      </c>
      <c r="JH73" s="7">
        <v>74</v>
      </c>
      <c r="JI73" s="7">
        <v>793</v>
      </c>
      <c r="JJ73" s="7">
        <v>10</v>
      </c>
      <c r="JK73" s="7">
        <v>18</v>
      </c>
      <c r="JL73" s="7">
        <v>479</v>
      </c>
      <c r="JM73" s="7">
        <v>106</v>
      </c>
      <c r="JN73" s="7">
        <v>79</v>
      </c>
      <c r="JO73" s="7">
        <v>528</v>
      </c>
      <c r="JP73" s="7">
        <v>684</v>
      </c>
      <c r="JQ73" s="7">
        <v>6</v>
      </c>
      <c r="JR73" s="7">
        <v>34</v>
      </c>
      <c r="JS73" s="7">
        <v>24</v>
      </c>
      <c r="JT73" s="7">
        <v>1</v>
      </c>
      <c r="JU73" s="151">
        <v>55.356467124913976</v>
      </c>
      <c r="JV73" s="151">
        <v>765.90531804508839</v>
      </c>
      <c r="JW73" s="151">
        <v>6.1272425443607075</v>
      </c>
      <c r="JX73" s="151">
        <v>0</v>
      </c>
      <c r="JY73" s="7">
        <v>842</v>
      </c>
      <c r="JZ73" s="7">
        <v>4212</v>
      </c>
      <c r="KA73" s="7">
        <v>9</v>
      </c>
      <c r="KB73" s="7">
        <v>0</v>
      </c>
      <c r="KC73" s="7">
        <v>0</v>
      </c>
      <c r="KD73" s="7">
        <v>0</v>
      </c>
      <c r="KE73" s="7">
        <v>0</v>
      </c>
      <c r="KF73" s="7">
        <v>0</v>
      </c>
      <c r="KG73" s="7">
        <v>96</v>
      </c>
      <c r="KH73" s="7">
        <v>301</v>
      </c>
      <c r="KI73" s="7">
        <v>3808</v>
      </c>
      <c r="KJ73" s="7">
        <v>43</v>
      </c>
      <c r="KK73" s="7">
        <v>84</v>
      </c>
      <c r="KL73" s="7">
        <v>262</v>
      </c>
      <c r="KM73" s="7">
        <v>3625</v>
      </c>
      <c r="KN73" s="7">
        <v>29</v>
      </c>
      <c r="KO73" s="7">
        <v>0</v>
      </c>
      <c r="KP73" s="7">
        <v>3916</v>
      </c>
      <c r="KQ73" s="7">
        <v>297</v>
      </c>
      <c r="KR73" s="7">
        <v>608</v>
      </c>
      <c r="KS73" s="7">
        <v>608</v>
      </c>
      <c r="KT73" s="7">
        <v>87</v>
      </c>
      <c r="KU73" s="7">
        <v>45</v>
      </c>
      <c r="KV73" s="7">
        <v>101</v>
      </c>
      <c r="KW73" s="7">
        <v>0</v>
      </c>
      <c r="KX73" s="7">
        <v>121</v>
      </c>
      <c r="KY73" s="7">
        <v>34</v>
      </c>
      <c r="KZ73" s="7">
        <v>99</v>
      </c>
      <c r="LA73" s="7">
        <v>0</v>
      </c>
      <c r="LB73" s="7">
        <v>380</v>
      </c>
      <c r="LC73" s="7">
        <v>386</v>
      </c>
      <c r="LD73" s="7">
        <v>299</v>
      </c>
      <c r="LE73" s="7">
        <v>257</v>
      </c>
      <c r="LF73" s="7">
        <v>2536</v>
      </c>
      <c r="LG73" s="7">
        <v>4</v>
      </c>
      <c r="LH73" s="7">
        <v>679</v>
      </c>
      <c r="LI73" s="7">
        <v>74</v>
      </c>
      <c r="LJ73" s="7">
        <v>179</v>
      </c>
      <c r="LK73" s="7">
        <v>0</v>
      </c>
      <c r="LL73" s="7">
        <v>114</v>
      </c>
      <c r="LM73" s="7">
        <v>21</v>
      </c>
      <c r="LN73" s="7">
        <v>10</v>
      </c>
      <c r="LO73" s="7">
        <v>740</v>
      </c>
      <c r="LP73" s="7">
        <v>68</v>
      </c>
      <c r="LQ73" s="7">
        <v>132</v>
      </c>
      <c r="LR73" s="7">
        <v>0</v>
      </c>
      <c r="LS73" s="7">
        <v>62</v>
      </c>
      <c r="LT73" s="7">
        <v>6</v>
      </c>
      <c r="LU73" s="232">
        <v>4.5590332804999996</v>
      </c>
      <c r="LV73" s="232">
        <v>4.7749809306</v>
      </c>
      <c r="LW73" s="232">
        <v>4.3256389117999996</v>
      </c>
      <c r="LX73" s="7">
        <v>895</v>
      </c>
      <c r="LY73" s="7">
        <v>4236</v>
      </c>
    </row>
    <row r="74" spans="1:337" x14ac:dyDescent="0.25">
      <c r="A74" t="s">
        <v>154</v>
      </c>
      <c r="B74" t="s">
        <v>155</v>
      </c>
      <c r="C74" s="7">
        <v>146696</v>
      </c>
      <c r="D74">
        <v>198877</v>
      </c>
      <c r="F74">
        <f t="shared" si="4"/>
        <v>-198877</v>
      </c>
      <c r="G74">
        <f t="shared" si="5"/>
        <v>-100</v>
      </c>
      <c r="H74">
        <v>99113</v>
      </c>
      <c r="I74">
        <v>99764</v>
      </c>
      <c r="J74">
        <v>64970</v>
      </c>
      <c r="K74">
        <v>133907</v>
      </c>
      <c r="L74" s="7">
        <v>12827</v>
      </c>
      <c r="M74" s="7">
        <v>13748</v>
      </c>
      <c r="N74" s="7">
        <v>13167</v>
      </c>
      <c r="O74" s="7">
        <v>10881</v>
      </c>
      <c r="P74" s="7">
        <v>7818</v>
      </c>
      <c r="Q74" s="7">
        <v>6009</v>
      </c>
      <c r="R74" s="7">
        <v>5562</v>
      </c>
      <c r="S74" s="7">
        <v>5086</v>
      </c>
      <c r="T74" s="7">
        <v>3779</v>
      </c>
      <c r="U74" s="7">
        <v>3254</v>
      </c>
      <c r="V74" s="7">
        <v>2487</v>
      </c>
      <c r="W74" s="7">
        <v>1743</v>
      </c>
      <c r="X74" s="7">
        <v>1499</v>
      </c>
      <c r="Y74" s="7">
        <v>2865</v>
      </c>
      <c r="Z74" s="7">
        <v>8388</v>
      </c>
      <c r="AA74" s="7">
        <v>12758</v>
      </c>
      <c r="AB74" s="7">
        <v>13393</v>
      </c>
      <c r="AC74" s="7">
        <v>12630</v>
      </c>
      <c r="AD74" s="7">
        <v>11237</v>
      </c>
      <c r="AE74" s="7">
        <v>8658</v>
      </c>
      <c r="AF74" s="7">
        <v>6887</v>
      </c>
      <c r="AG74" s="7">
        <v>5898</v>
      </c>
      <c r="AH74" s="7">
        <v>5294</v>
      </c>
      <c r="AI74" s="7">
        <v>3768</v>
      </c>
      <c r="AJ74" s="7">
        <v>3162</v>
      </c>
      <c r="AK74" s="7">
        <v>2225</v>
      </c>
      <c r="AL74" s="7">
        <v>1686</v>
      </c>
      <c r="AM74" s="7">
        <v>1320</v>
      </c>
      <c r="AN74" s="7">
        <v>2463</v>
      </c>
      <c r="AO74" s="7">
        <v>8385</v>
      </c>
      <c r="AP74">
        <v>179490</v>
      </c>
      <c r="AQ74">
        <v>2137</v>
      </c>
      <c r="AR74">
        <v>57</v>
      </c>
      <c r="AS74">
        <v>82</v>
      </c>
      <c r="AT74">
        <v>17111</v>
      </c>
      <c r="AU74" s="7">
        <v>133811</v>
      </c>
      <c r="AV74" s="7">
        <v>66974</v>
      </c>
      <c r="AW74" s="7">
        <v>66837</v>
      </c>
      <c r="AX74" s="7">
        <v>72993</v>
      </c>
      <c r="AY74" s="7">
        <v>133811</v>
      </c>
      <c r="AZ74" s="7">
        <v>98381</v>
      </c>
      <c r="BA74" s="7">
        <v>35430</v>
      </c>
      <c r="BB74" s="7">
        <v>4139</v>
      </c>
      <c r="BC74" s="7">
        <v>3944</v>
      </c>
      <c r="BD74" s="7">
        <v>10669</v>
      </c>
      <c r="BE74" s="7">
        <v>10428</v>
      </c>
      <c r="BF74" s="7">
        <v>10622</v>
      </c>
      <c r="BG74" s="7">
        <v>10241</v>
      </c>
      <c r="BH74" s="7">
        <v>8829</v>
      </c>
      <c r="BI74" s="7">
        <v>8942</v>
      </c>
      <c r="BJ74" s="7">
        <v>6193</v>
      </c>
      <c r="BK74" s="7">
        <v>6853</v>
      </c>
      <c r="BL74" s="7">
        <v>4772</v>
      </c>
      <c r="BM74" s="7">
        <v>5350</v>
      </c>
      <c r="BN74" s="7">
        <v>4391</v>
      </c>
      <c r="BO74" s="7">
        <v>4601</v>
      </c>
      <c r="BP74" s="7">
        <v>4087</v>
      </c>
      <c r="BQ74" s="7">
        <v>4264</v>
      </c>
      <c r="BR74" s="7">
        <v>3095</v>
      </c>
      <c r="BS74" s="7">
        <v>3011</v>
      </c>
      <c r="BT74" s="7">
        <v>2708</v>
      </c>
      <c r="BU74" s="7">
        <v>2626</v>
      </c>
      <c r="BV74" s="7">
        <v>2101</v>
      </c>
      <c r="BW74" s="7">
        <v>1848</v>
      </c>
      <c r="BX74" s="7">
        <v>1496</v>
      </c>
      <c r="BY74" s="7">
        <v>1420</v>
      </c>
      <c r="BZ74" s="7">
        <v>1308</v>
      </c>
      <c r="CA74" s="7">
        <v>1129</v>
      </c>
      <c r="CB74" s="7">
        <v>2564</v>
      </c>
      <c r="CC74" s="7">
        <v>2180</v>
      </c>
      <c r="CD74" s="7">
        <v>47683</v>
      </c>
      <c r="CE74" s="7">
        <v>38777</v>
      </c>
      <c r="CF74" s="7">
        <v>19054</v>
      </c>
      <c r="CG74" s="7">
        <v>27750</v>
      </c>
      <c r="CH74" s="7">
        <v>29552</v>
      </c>
      <c r="CI74" s="7">
        <v>3826</v>
      </c>
      <c r="CJ74" s="7">
        <v>166260</v>
      </c>
      <c r="CK74" s="7">
        <v>15416</v>
      </c>
      <c r="CL74" s="7">
        <v>1050</v>
      </c>
      <c r="CM74" s="7">
        <v>2738</v>
      </c>
      <c r="CN74" s="7">
        <v>4302</v>
      </c>
      <c r="CO74" s="7">
        <v>5544</v>
      </c>
      <c r="CP74" s="7">
        <v>5340</v>
      </c>
      <c r="CQ74" s="7">
        <v>14404</v>
      </c>
      <c r="CR74" s="7">
        <v>28360</v>
      </c>
      <c r="CS74" s="7">
        <v>100731</v>
      </c>
      <c r="CT74" s="7">
        <v>8700</v>
      </c>
      <c r="CU74" s="7">
        <v>3632</v>
      </c>
      <c r="CV74" s="7">
        <v>1424</v>
      </c>
      <c r="CW74" s="7">
        <v>4279</v>
      </c>
      <c r="CX74" s="7">
        <v>524</v>
      </c>
      <c r="CY74" s="7">
        <v>122103</v>
      </c>
      <c r="CZ74" s="7">
        <v>52862</v>
      </c>
      <c r="DA74" s="7">
        <v>1720</v>
      </c>
      <c r="DB74" s="7">
        <v>1050</v>
      </c>
      <c r="DC74" s="7">
        <v>189</v>
      </c>
      <c r="DD74" s="7">
        <v>40979</v>
      </c>
      <c r="DE74" s="7">
        <v>27837</v>
      </c>
      <c r="DF74" s="7">
        <v>65091</v>
      </c>
      <c r="DG74" s="7">
        <v>7320</v>
      </c>
      <c r="DH74" s="7">
        <v>5184</v>
      </c>
      <c r="DI74" s="7">
        <v>52466</v>
      </c>
      <c r="DJ74" s="7">
        <v>0</v>
      </c>
      <c r="DK74" s="7">
        <v>0</v>
      </c>
      <c r="DL74" s="7">
        <v>961</v>
      </c>
      <c r="DM74" s="7">
        <v>81</v>
      </c>
      <c r="DN74" s="7">
        <v>67</v>
      </c>
      <c r="DO74" s="7">
        <v>2</v>
      </c>
      <c r="DP74" s="7">
        <v>1</v>
      </c>
      <c r="DQ74" s="7">
        <v>2</v>
      </c>
      <c r="DR74" s="7">
        <v>0</v>
      </c>
      <c r="DS74" s="7">
        <v>0</v>
      </c>
      <c r="DT74" s="7">
        <v>620</v>
      </c>
      <c r="DU74" s="7">
        <v>680</v>
      </c>
      <c r="DV74" s="7">
        <v>453</v>
      </c>
      <c r="DW74" s="7">
        <v>370</v>
      </c>
      <c r="DX74" s="7">
        <v>154</v>
      </c>
      <c r="DY74" s="7">
        <v>112</v>
      </c>
      <c r="DZ74" s="7">
        <v>204</v>
      </c>
      <c r="EA74" s="7">
        <v>165</v>
      </c>
      <c r="EB74" s="7">
        <v>56</v>
      </c>
      <c r="EC74" s="7">
        <v>43</v>
      </c>
      <c r="ED74" s="7">
        <v>60</v>
      </c>
      <c r="EE74" s="7">
        <v>42</v>
      </c>
      <c r="EF74" s="7">
        <v>164</v>
      </c>
      <c r="EG74" s="7">
        <v>169</v>
      </c>
      <c r="EH74" s="7">
        <v>684</v>
      </c>
      <c r="EI74" s="7">
        <v>421</v>
      </c>
      <c r="EJ74" s="7">
        <v>118</v>
      </c>
      <c r="EK74" s="7">
        <v>156</v>
      </c>
      <c r="EL74" s="7">
        <v>50</v>
      </c>
      <c r="EM74" s="7">
        <v>47</v>
      </c>
      <c r="EN74" s="7">
        <v>141</v>
      </c>
      <c r="EO74" s="7">
        <v>43667</v>
      </c>
      <c r="EP74" s="7">
        <v>43114</v>
      </c>
      <c r="EQ74" s="7">
        <v>553</v>
      </c>
      <c r="ER74" s="7">
        <v>14768</v>
      </c>
      <c r="ES74" s="7">
        <v>6914</v>
      </c>
      <c r="ET74" s="7">
        <v>6777</v>
      </c>
      <c r="EU74" s="7">
        <v>137</v>
      </c>
      <c r="EV74" s="7">
        <v>52750</v>
      </c>
      <c r="EW74" s="134">
        <v>66.203436938999999</v>
      </c>
      <c r="EX74" s="134">
        <v>7.8636070908000004</v>
      </c>
      <c r="EY74" s="134">
        <v>7.5687218248999999</v>
      </c>
      <c r="EZ74" s="134">
        <v>18.116801680999998</v>
      </c>
      <c r="FA74" s="134">
        <v>0.2474324645</v>
      </c>
      <c r="FB74" s="7">
        <v>9839</v>
      </c>
      <c r="FC74" s="7">
        <v>21996</v>
      </c>
      <c r="FD74" s="7">
        <v>1971</v>
      </c>
      <c r="FE74" s="7">
        <v>8467</v>
      </c>
      <c r="FF74" s="7">
        <v>23</v>
      </c>
      <c r="FG74" s="7">
        <v>5068</v>
      </c>
      <c r="FH74" s="7">
        <v>3106</v>
      </c>
      <c r="FI74" s="134">
        <v>76.005829915999996</v>
      </c>
      <c r="FJ74" s="134">
        <v>9.4159915940999994</v>
      </c>
      <c r="FK74" s="134">
        <v>11.803884351000001</v>
      </c>
      <c r="FL74" s="134">
        <v>2.7742941395999998</v>
      </c>
      <c r="FM74" s="151">
        <v>38473</v>
      </c>
      <c r="FN74" s="151">
        <v>52034</v>
      </c>
      <c r="FO74" s="7">
        <v>8552</v>
      </c>
      <c r="FP74" s="7">
        <v>2004</v>
      </c>
      <c r="FQ74" s="7">
        <v>279</v>
      </c>
      <c r="FR74" s="7">
        <v>585</v>
      </c>
      <c r="FS74" s="7">
        <v>26666</v>
      </c>
      <c r="FT74" s="7">
        <v>187</v>
      </c>
      <c r="FU74" s="7">
        <v>525</v>
      </c>
      <c r="FV74" s="7">
        <v>8606</v>
      </c>
      <c r="FW74" s="7">
        <v>40533</v>
      </c>
      <c r="FX74" s="7">
        <v>50573</v>
      </c>
      <c r="FY74" s="7">
        <v>8476</v>
      </c>
      <c r="FZ74" s="7">
        <v>1980</v>
      </c>
      <c r="GA74" s="7">
        <v>285</v>
      </c>
      <c r="GB74" s="7">
        <v>488</v>
      </c>
      <c r="GC74" s="7">
        <v>29015</v>
      </c>
      <c r="GD74" s="7">
        <v>163</v>
      </c>
      <c r="GE74" s="7">
        <v>495</v>
      </c>
      <c r="GF74" s="7">
        <v>8658</v>
      </c>
      <c r="GG74" s="7">
        <v>4771</v>
      </c>
      <c r="GH74" s="7">
        <v>5888</v>
      </c>
      <c r="GI74" s="7">
        <v>5881</v>
      </c>
      <c r="GJ74" s="7">
        <v>4355</v>
      </c>
      <c r="GK74" s="7">
        <v>2609</v>
      </c>
      <c r="GL74" s="7">
        <v>2392</v>
      </c>
      <c r="GM74" s="7">
        <v>2548</v>
      </c>
      <c r="GN74" s="7">
        <v>2475</v>
      </c>
      <c r="GO74" s="7">
        <v>1887</v>
      </c>
      <c r="GP74" s="7">
        <v>1529</v>
      </c>
      <c r="GQ74" s="7">
        <v>1141</v>
      </c>
      <c r="GR74" s="7">
        <v>749</v>
      </c>
      <c r="GS74" s="7">
        <v>671</v>
      </c>
      <c r="GT74" s="7">
        <v>490</v>
      </c>
      <c r="GU74" s="7">
        <v>549</v>
      </c>
      <c r="GV74" s="7">
        <v>267</v>
      </c>
      <c r="GW74" s="7">
        <v>113</v>
      </c>
      <c r="GX74" s="7">
        <v>150</v>
      </c>
      <c r="GY74" s="7">
        <v>4743</v>
      </c>
      <c r="GZ74" s="7">
        <v>5732</v>
      </c>
      <c r="HA74" s="7">
        <v>5586</v>
      </c>
      <c r="HB74" s="7">
        <v>4491</v>
      </c>
      <c r="HC74" s="7">
        <v>3396</v>
      </c>
      <c r="HD74" s="7">
        <v>3143</v>
      </c>
      <c r="HE74" s="7">
        <v>3027</v>
      </c>
      <c r="HF74" s="7">
        <v>2713</v>
      </c>
      <c r="HG74" s="7">
        <v>2031</v>
      </c>
      <c r="HH74" s="7">
        <v>1643</v>
      </c>
      <c r="HI74" s="7">
        <v>1113</v>
      </c>
      <c r="HJ74" s="7">
        <v>845</v>
      </c>
      <c r="HK74" s="7">
        <v>665</v>
      </c>
      <c r="HL74" s="7">
        <v>528</v>
      </c>
      <c r="HM74" s="7">
        <v>446</v>
      </c>
      <c r="HN74" s="7">
        <v>215</v>
      </c>
      <c r="HO74" s="7">
        <v>108</v>
      </c>
      <c r="HP74" s="7">
        <v>100</v>
      </c>
      <c r="HQ74" s="7">
        <v>32392</v>
      </c>
      <c r="HR74" s="7">
        <v>160</v>
      </c>
      <c r="HS74" s="7">
        <v>511</v>
      </c>
      <c r="HT74" s="7">
        <v>28</v>
      </c>
      <c r="HU74" s="7">
        <v>15</v>
      </c>
      <c r="HV74" s="7">
        <v>2</v>
      </c>
      <c r="HW74" s="7">
        <v>1</v>
      </c>
      <c r="HX74" s="7">
        <v>5841</v>
      </c>
      <c r="HY74" s="7">
        <v>1047</v>
      </c>
      <c r="HZ74" s="7">
        <v>2738</v>
      </c>
      <c r="IA74" s="7">
        <v>4302</v>
      </c>
      <c r="IB74" s="7">
        <v>5542</v>
      </c>
      <c r="IC74" s="7">
        <v>5336</v>
      </c>
      <c r="ID74" s="7">
        <v>4637</v>
      </c>
      <c r="IE74" s="7">
        <v>3053</v>
      </c>
      <c r="IF74" s="7">
        <v>2361</v>
      </c>
      <c r="IG74" s="7">
        <v>4344</v>
      </c>
      <c r="IH74" s="7">
        <v>2875</v>
      </c>
      <c r="II74" s="7">
        <v>12995</v>
      </c>
      <c r="IJ74" s="7">
        <v>8920</v>
      </c>
      <c r="IK74" s="7">
        <v>4513</v>
      </c>
      <c r="IL74" s="7">
        <v>2407</v>
      </c>
      <c r="IM74" s="7">
        <v>889</v>
      </c>
      <c r="IN74" s="7">
        <v>324</v>
      </c>
      <c r="IO74" s="7">
        <v>143</v>
      </c>
      <c r="IP74" s="7">
        <v>131</v>
      </c>
      <c r="IQ74" s="7">
        <v>17151</v>
      </c>
      <c r="IR74" s="7">
        <v>10015</v>
      </c>
      <c r="IS74" s="7">
        <v>3953</v>
      </c>
      <c r="IT74" s="7">
        <v>1606</v>
      </c>
      <c r="IU74" s="7">
        <v>510</v>
      </c>
      <c r="IV74" s="7">
        <v>9013</v>
      </c>
      <c r="IW74" s="7">
        <v>19340</v>
      </c>
      <c r="IX74" s="7">
        <v>396</v>
      </c>
      <c r="IY74" s="7">
        <v>382</v>
      </c>
      <c r="IZ74" s="7">
        <v>147</v>
      </c>
      <c r="JA74" s="7">
        <v>3907</v>
      </c>
      <c r="JB74" s="7">
        <v>10857</v>
      </c>
      <c r="JC74" s="7">
        <v>8718</v>
      </c>
      <c r="JD74" s="7">
        <v>425</v>
      </c>
      <c r="JE74" s="7">
        <v>531</v>
      </c>
      <c r="JF74" s="151">
        <v>29750.214312511551</v>
      </c>
      <c r="JG74" s="151">
        <v>3465.7447217391336</v>
      </c>
      <c r="JH74" s="7">
        <v>6681</v>
      </c>
      <c r="JI74" s="7">
        <v>25151</v>
      </c>
      <c r="JJ74" s="7">
        <v>1376</v>
      </c>
      <c r="JK74" s="7">
        <v>152</v>
      </c>
      <c r="JL74" s="7">
        <v>10069</v>
      </c>
      <c r="JM74" s="7">
        <v>3562</v>
      </c>
      <c r="JN74" s="7">
        <v>2876</v>
      </c>
      <c r="JO74" s="7">
        <v>15465</v>
      </c>
      <c r="JP74" s="7">
        <v>16237</v>
      </c>
      <c r="JQ74" s="7">
        <v>1935</v>
      </c>
      <c r="JR74" s="7">
        <v>1349</v>
      </c>
      <c r="JS74" s="7">
        <v>7270</v>
      </c>
      <c r="JT74" s="7">
        <v>631</v>
      </c>
      <c r="JU74" s="151">
        <v>5964.9243999525261</v>
      </c>
      <c r="JV74" s="151">
        <v>12596.210976842489</v>
      </c>
      <c r="JW74" s="151">
        <v>10974.307117453543</v>
      </c>
      <c r="JX74" s="151">
        <v>214.77181826299019</v>
      </c>
      <c r="JY74" s="7">
        <v>29858</v>
      </c>
      <c r="JZ74" s="7">
        <v>177872</v>
      </c>
      <c r="KA74" s="7">
        <v>584</v>
      </c>
      <c r="KB74" s="7">
        <v>1644</v>
      </c>
      <c r="KC74" s="7">
        <v>102</v>
      </c>
      <c r="KD74" s="7">
        <v>89</v>
      </c>
      <c r="KE74" s="7">
        <v>10</v>
      </c>
      <c r="KF74" s="7">
        <v>1</v>
      </c>
      <c r="KG74" s="7">
        <v>18090</v>
      </c>
      <c r="KH74" s="7">
        <v>37774</v>
      </c>
      <c r="KI74" s="7">
        <v>137119</v>
      </c>
      <c r="KJ74" s="7">
        <v>5860</v>
      </c>
      <c r="KK74" s="7">
        <v>823</v>
      </c>
      <c r="KL74" s="7">
        <v>32467</v>
      </c>
      <c r="KM74" s="7">
        <v>68561</v>
      </c>
      <c r="KN74" s="7">
        <v>59733</v>
      </c>
      <c r="KO74" s="7">
        <v>1169</v>
      </c>
      <c r="KP74" s="7">
        <v>161930</v>
      </c>
      <c r="KQ74" s="7">
        <v>18864</v>
      </c>
      <c r="KR74" s="7">
        <v>33327</v>
      </c>
      <c r="KS74" s="7">
        <v>33327</v>
      </c>
      <c r="KT74" s="7">
        <v>6923</v>
      </c>
      <c r="KU74" s="7">
        <v>2165</v>
      </c>
      <c r="KV74" s="7">
        <v>5591</v>
      </c>
      <c r="KW74" s="7">
        <v>8</v>
      </c>
      <c r="KX74" s="7">
        <v>6793</v>
      </c>
      <c r="KY74" s="7">
        <v>1841</v>
      </c>
      <c r="KZ74" s="7">
        <v>4816</v>
      </c>
      <c r="LA74" s="7">
        <v>4</v>
      </c>
      <c r="LB74" s="7">
        <v>16500</v>
      </c>
      <c r="LC74" s="7">
        <v>15968</v>
      </c>
      <c r="LD74" s="7">
        <v>10296</v>
      </c>
      <c r="LE74" s="7">
        <v>18431</v>
      </c>
      <c r="LF74" s="7">
        <v>103581</v>
      </c>
      <c r="LG74" s="7">
        <v>226</v>
      </c>
      <c r="LH74" s="7">
        <v>20281</v>
      </c>
      <c r="LI74" s="7">
        <v>3683</v>
      </c>
      <c r="LJ74" s="7">
        <v>8544</v>
      </c>
      <c r="LK74" s="7">
        <v>16</v>
      </c>
      <c r="LL74" s="7">
        <v>6331</v>
      </c>
      <c r="LM74" s="7">
        <v>2715</v>
      </c>
      <c r="LN74" s="7">
        <v>247</v>
      </c>
      <c r="LO74" s="7">
        <v>20330</v>
      </c>
      <c r="LP74" s="7">
        <v>3042</v>
      </c>
      <c r="LQ74" s="7">
        <v>6677</v>
      </c>
      <c r="LR74" s="7">
        <v>20</v>
      </c>
      <c r="LS74" s="7">
        <v>4963</v>
      </c>
      <c r="LT74" s="7">
        <v>1783</v>
      </c>
      <c r="LU74" s="232">
        <v>5.4617809375000004</v>
      </c>
      <c r="LV74" s="232">
        <v>6.1016661737</v>
      </c>
      <c r="LW74" s="232">
        <v>4.8423303045999999</v>
      </c>
      <c r="LX74" s="7">
        <v>33360</v>
      </c>
      <c r="LY74" s="7">
        <v>181576</v>
      </c>
    </row>
    <row r="75" spans="1:337" x14ac:dyDescent="0.25">
      <c r="A75" t="s">
        <v>156</v>
      </c>
      <c r="B75" t="s">
        <v>157</v>
      </c>
      <c r="C75" s="7">
        <v>9271</v>
      </c>
      <c r="D75">
        <v>11878</v>
      </c>
      <c r="F75">
        <f t="shared" si="4"/>
        <v>-11878</v>
      </c>
      <c r="G75">
        <f t="shared" si="5"/>
        <v>-100</v>
      </c>
      <c r="H75">
        <v>5893</v>
      </c>
      <c r="I75">
        <v>5985</v>
      </c>
      <c r="J75">
        <v>4663</v>
      </c>
      <c r="K75">
        <v>7215</v>
      </c>
      <c r="L75" s="7">
        <v>959</v>
      </c>
      <c r="M75" s="7">
        <v>962</v>
      </c>
      <c r="N75" s="7">
        <v>898</v>
      </c>
      <c r="O75" s="7">
        <v>611</v>
      </c>
      <c r="P75" s="7">
        <v>433</v>
      </c>
      <c r="Q75" s="7">
        <v>343</v>
      </c>
      <c r="R75" s="7">
        <v>322</v>
      </c>
      <c r="S75" s="7">
        <v>272</v>
      </c>
      <c r="T75" s="7">
        <v>186</v>
      </c>
      <c r="U75" s="7">
        <v>196</v>
      </c>
      <c r="V75" s="7">
        <v>167</v>
      </c>
      <c r="W75" s="7">
        <v>150</v>
      </c>
      <c r="X75" s="7">
        <v>108</v>
      </c>
      <c r="Y75" s="7">
        <v>285</v>
      </c>
      <c r="Z75" s="7">
        <v>1</v>
      </c>
      <c r="AA75" s="7">
        <v>885</v>
      </c>
      <c r="AB75" s="7">
        <v>950</v>
      </c>
      <c r="AC75" s="7">
        <v>879</v>
      </c>
      <c r="AD75" s="7">
        <v>620</v>
      </c>
      <c r="AE75" s="7">
        <v>462</v>
      </c>
      <c r="AF75" s="7">
        <v>411</v>
      </c>
      <c r="AG75" s="7">
        <v>338</v>
      </c>
      <c r="AH75" s="7">
        <v>309</v>
      </c>
      <c r="AI75" s="7">
        <v>218</v>
      </c>
      <c r="AJ75" s="7">
        <v>212</v>
      </c>
      <c r="AK75" s="7">
        <v>176</v>
      </c>
      <c r="AL75" s="7">
        <v>144</v>
      </c>
      <c r="AM75" s="7">
        <v>115</v>
      </c>
      <c r="AN75" s="7">
        <v>265</v>
      </c>
      <c r="AO75" s="7">
        <v>1</v>
      </c>
      <c r="AP75">
        <v>11847</v>
      </c>
      <c r="AQ75">
        <v>25</v>
      </c>
      <c r="AR75">
        <v>2</v>
      </c>
      <c r="AS75">
        <v>1</v>
      </c>
      <c r="AT75">
        <v>3</v>
      </c>
      <c r="AU75" s="7">
        <v>10582</v>
      </c>
      <c r="AV75" s="7">
        <v>5208</v>
      </c>
      <c r="AW75" s="7">
        <v>5374</v>
      </c>
      <c r="AX75" s="7">
        <v>7427</v>
      </c>
      <c r="AY75" s="7">
        <v>10582</v>
      </c>
      <c r="AZ75" s="7">
        <v>6399</v>
      </c>
      <c r="BA75" s="7">
        <v>4183</v>
      </c>
      <c r="BB75" s="7">
        <v>370</v>
      </c>
      <c r="BC75" s="7">
        <v>370</v>
      </c>
      <c r="BD75" s="7">
        <v>937</v>
      </c>
      <c r="BE75" s="7">
        <v>930</v>
      </c>
      <c r="BF75" s="7">
        <v>879</v>
      </c>
      <c r="BG75" s="7">
        <v>867</v>
      </c>
      <c r="BH75" s="7">
        <v>610</v>
      </c>
      <c r="BI75" s="7">
        <v>607</v>
      </c>
      <c r="BJ75" s="7">
        <v>427</v>
      </c>
      <c r="BK75" s="7">
        <v>451</v>
      </c>
      <c r="BL75" s="7">
        <v>335</v>
      </c>
      <c r="BM75" s="7">
        <v>401</v>
      </c>
      <c r="BN75" s="7">
        <v>315</v>
      </c>
      <c r="BO75" s="7">
        <v>330</v>
      </c>
      <c r="BP75" s="7">
        <v>262</v>
      </c>
      <c r="BQ75" s="7">
        <v>303</v>
      </c>
      <c r="BR75" s="7">
        <v>181</v>
      </c>
      <c r="BS75" s="7">
        <v>215</v>
      </c>
      <c r="BT75" s="7">
        <v>193</v>
      </c>
      <c r="BU75" s="7">
        <v>208</v>
      </c>
      <c r="BV75" s="7">
        <v>163</v>
      </c>
      <c r="BW75" s="7">
        <v>172</v>
      </c>
      <c r="BX75" s="7">
        <v>146</v>
      </c>
      <c r="BY75" s="7">
        <v>143</v>
      </c>
      <c r="BZ75" s="7">
        <v>106</v>
      </c>
      <c r="CA75" s="7">
        <v>114</v>
      </c>
      <c r="CB75" s="7">
        <v>284</v>
      </c>
      <c r="CC75" s="7">
        <v>263</v>
      </c>
      <c r="CD75" s="7">
        <v>3879</v>
      </c>
      <c r="CE75" s="7">
        <v>3401</v>
      </c>
      <c r="CF75" s="7">
        <v>1264</v>
      </c>
      <c r="CG75" s="7">
        <v>1917</v>
      </c>
      <c r="CH75" s="7">
        <v>1972</v>
      </c>
      <c r="CI75" s="7">
        <v>315</v>
      </c>
      <c r="CJ75" s="7">
        <v>10663</v>
      </c>
      <c r="CK75" s="7">
        <v>1215</v>
      </c>
      <c r="CL75" s="7">
        <v>93</v>
      </c>
      <c r="CM75" s="7">
        <v>249</v>
      </c>
      <c r="CN75" s="7">
        <v>322</v>
      </c>
      <c r="CO75" s="7">
        <v>320</v>
      </c>
      <c r="CP75" s="7">
        <v>328</v>
      </c>
      <c r="CQ75" s="7">
        <v>975</v>
      </c>
      <c r="CR75" s="7">
        <v>1909</v>
      </c>
      <c r="CS75" s="7">
        <v>6864</v>
      </c>
      <c r="CT75" s="7">
        <v>431</v>
      </c>
      <c r="CU75" s="7">
        <v>134</v>
      </c>
      <c r="CV75" s="7">
        <v>61</v>
      </c>
      <c r="CW75" s="7">
        <v>168</v>
      </c>
      <c r="CX75" s="7">
        <v>8</v>
      </c>
      <c r="CY75" s="7">
        <v>9000</v>
      </c>
      <c r="CZ75" s="7">
        <v>2649</v>
      </c>
      <c r="DA75" s="7">
        <v>8</v>
      </c>
      <c r="DB75" s="7">
        <v>93</v>
      </c>
      <c r="DC75" s="7">
        <v>8</v>
      </c>
      <c r="DD75" s="7">
        <v>2869</v>
      </c>
      <c r="DE75" s="7">
        <v>1258</v>
      </c>
      <c r="DF75" s="7">
        <v>3088</v>
      </c>
      <c r="DG75" s="7">
        <v>4663</v>
      </c>
      <c r="DH75" s="7">
        <v>0</v>
      </c>
      <c r="DI75" s="7">
        <v>0</v>
      </c>
      <c r="DJ75" s="7">
        <v>0</v>
      </c>
      <c r="DK75" s="7">
        <v>0</v>
      </c>
      <c r="DL75" s="7">
        <v>29</v>
      </c>
      <c r="DM75" s="7">
        <v>4</v>
      </c>
      <c r="DN75" s="7">
        <v>4</v>
      </c>
      <c r="DO75" s="7">
        <v>1</v>
      </c>
      <c r="DP75" s="7">
        <v>0</v>
      </c>
      <c r="DQ75" s="7">
        <v>0</v>
      </c>
      <c r="DR75" s="7">
        <v>0</v>
      </c>
      <c r="DS75" s="7">
        <v>0</v>
      </c>
      <c r="DT75" s="7">
        <v>54</v>
      </c>
      <c r="DU75" s="7">
        <v>37</v>
      </c>
      <c r="DV75" s="7">
        <v>23</v>
      </c>
      <c r="DW75" s="7">
        <v>16</v>
      </c>
      <c r="DX75" s="7">
        <v>14</v>
      </c>
      <c r="DY75" s="7">
        <v>9</v>
      </c>
      <c r="DZ75" s="7">
        <v>16</v>
      </c>
      <c r="EA75" s="7">
        <v>12</v>
      </c>
      <c r="EB75" s="7">
        <v>5</v>
      </c>
      <c r="EC75" s="7">
        <v>7</v>
      </c>
      <c r="ED75" s="7">
        <v>5</v>
      </c>
      <c r="EE75" s="7">
        <v>3</v>
      </c>
      <c r="EF75" s="7">
        <v>17</v>
      </c>
      <c r="EG75" s="7">
        <v>18</v>
      </c>
      <c r="EH75" s="7">
        <v>73</v>
      </c>
      <c r="EI75" s="7">
        <v>29</v>
      </c>
      <c r="EJ75" s="7">
        <v>20</v>
      </c>
      <c r="EK75" s="7">
        <v>16</v>
      </c>
      <c r="EL75" s="7">
        <v>7</v>
      </c>
      <c r="EM75" s="7">
        <v>5</v>
      </c>
      <c r="EN75" s="7">
        <v>21</v>
      </c>
      <c r="EO75" s="7">
        <v>2404</v>
      </c>
      <c r="EP75" s="7">
        <v>2282</v>
      </c>
      <c r="EQ75" s="7">
        <v>122</v>
      </c>
      <c r="ER75" s="7">
        <v>1134</v>
      </c>
      <c r="ES75" s="7">
        <v>281</v>
      </c>
      <c r="ET75" s="7">
        <v>274</v>
      </c>
      <c r="EU75" s="7">
        <v>7</v>
      </c>
      <c r="EV75" s="7">
        <v>3461</v>
      </c>
      <c r="EW75" s="134">
        <v>75.373134328000006</v>
      </c>
      <c r="EX75" s="134">
        <v>8.8373919874000002</v>
      </c>
      <c r="EY75" s="134">
        <v>3.8491751767000002</v>
      </c>
      <c r="EZ75" s="134">
        <v>10.997643362</v>
      </c>
      <c r="FA75" s="134">
        <v>0.94265514530000005</v>
      </c>
      <c r="FB75" s="7">
        <v>876</v>
      </c>
      <c r="FC75" s="7">
        <v>1111</v>
      </c>
      <c r="FD75" s="7">
        <v>124</v>
      </c>
      <c r="FE75" s="7">
        <v>241</v>
      </c>
      <c r="FF75" s="7">
        <v>0</v>
      </c>
      <c r="FG75" s="7">
        <v>222</v>
      </c>
      <c r="FH75" s="7">
        <v>107</v>
      </c>
      <c r="FI75" s="134">
        <v>75.412411625999994</v>
      </c>
      <c r="FJ75" s="134">
        <v>8.7588373920000002</v>
      </c>
      <c r="FK75" s="134">
        <v>10.997643362</v>
      </c>
      <c r="FL75" s="134">
        <v>4.8311076198</v>
      </c>
      <c r="FM75" s="151">
        <v>3943</v>
      </c>
      <c r="FN75" s="151">
        <v>1800</v>
      </c>
      <c r="FO75" s="7">
        <v>1141</v>
      </c>
      <c r="FP75" s="7">
        <v>86</v>
      </c>
      <c r="FQ75" s="7">
        <v>11</v>
      </c>
      <c r="FR75" s="7">
        <v>0</v>
      </c>
      <c r="FS75" s="7">
        <v>2601</v>
      </c>
      <c r="FT75" s="7">
        <v>46</v>
      </c>
      <c r="FU75" s="7">
        <v>120</v>
      </c>
      <c r="FV75" s="7">
        <v>150</v>
      </c>
      <c r="FW75" s="7">
        <v>4127</v>
      </c>
      <c r="FX75" s="7">
        <v>1699</v>
      </c>
      <c r="FY75" s="7">
        <v>1126</v>
      </c>
      <c r="FZ75" s="7">
        <v>70</v>
      </c>
      <c r="GA75" s="7">
        <v>9</v>
      </c>
      <c r="GB75" s="7">
        <v>2</v>
      </c>
      <c r="GC75" s="7">
        <v>2856</v>
      </c>
      <c r="GD75" s="7">
        <v>26</v>
      </c>
      <c r="GE75" s="7">
        <v>110</v>
      </c>
      <c r="GF75" s="7">
        <v>159</v>
      </c>
      <c r="GG75" s="7">
        <v>626</v>
      </c>
      <c r="GH75" s="7">
        <v>657</v>
      </c>
      <c r="GI75" s="7">
        <v>611</v>
      </c>
      <c r="GJ75" s="7">
        <v>381</v>
      </c>
      <c r="GK75" s="7">
        <v>241</v>
      </c>
      <c r="GL75" s="7">
        <v>211</v>
      </c>
      <c r="GM75" s="7">
        <v>224</v>
      </c>
      <c r="GN75" s="7">
        <v>195</v>
      </c>
      <c r="GO75" s="7">
        <v>137</v>
      </c>
      <c r="GP75" s="7">
        <v>133</v>
      </c>
      <c r="GQ75" s="7">
        <v>118</v>
      </c>
      <c r="GR75" s="7">
        <v>92</v>
      </c>
      <c r="GS75" s="7">
        <v>75</v>
      </c>
      <c r="GT75" s="7">
        <v>79</v>
      </c>
      <c r="GU75" s="7">
        <v>81</v>
      </c>
      <c r="GV75" s="7">
        <v>37</v>
      </c>
      <c r="GW75" s="7">
        <v>23</v>
      </c>
      <c r="GX75" s="7">
        <v>21</v>
      </c>
      <c r="GY75" s="7">
        <v>573</v>
      </c>
      <c r="GZ75" s="7">
        <v>661</v>
      </c>
      <c r="HA75" s="7">
        <v>605</v>
      </c>
      <c r="HB75" s="7">
        <v>401</v>
      </c>
      <c r="HC75" s="7">
        <v>288</v>
      </c>
      <c r="HD75" s="7">
        <v>276</v>
      </c>
      <c r="HE75" s="7">
        <v>252</v>
      </c>
      <c r="HF75" s="7">
        <v>221</v>
      </c>
      <c r="HG75" s="7">
        <v>161</v>
      </c>
      <c r="HH75" s="7">
        <v>127</v>
      </c>
      <c r="HI75" s="7">
        <v>126</v>
      </c>
      <c r="HJ75" s="7">
        <v>112</v>
      </c>
      <c r="HK75" s="7">
        <v>94</v>
      </c>
      <c r="HL75" s="7">
        <v>93</v>
      </c>
      <c r="HM75" s="7">
        <v>59</v>
      </c>
      <c r="HN75" s="7">
        <v>40</v>
      </c>
      <c r="HO75" s="7">
        <v>20</v>
      </c>
      <c r="HP75" s="7">
        <v>17</v>
      </c>
      <c r="HQ75" s="7">
        <v>2275</v>
      </c>
      <c r="HR75" s="7">
        <v>0</v>
      </c>
      <c r="HS75" s="7">
        <v>0</v>
      </c>
      <c r="HT75" s="7">
        <v>0</v>
      </c>
      <c r="HU75" s="7">
        <v>0</v>
      </c>
      <c r="HV75" s="7">
        <v>0</v>
      </c>
      <c r="HW75" s="7">
        <v>0</v>
      </c>
      <c r="HX75" s="7">
        <v>12</v>
      </c>
      <c r="HY75" s="7">
        <v>93</v>
      </c>
      <c r="HZ75" s="7">
        <v>249</v>
      </c>
      <c r="IA75" s="7">
        <v>322</v>
      </c>
      <c r="IB75" s="7">
        <v>320</v>
      </c>
      <c r="IC75" s="7">
        <v>328</v>
      </c>
      <c r="ID75" s="7">
        <v>333</v>
      </c>
      <c r="IE75" s="7">
        <v>239</v>
      </c>
      <c r="IF75" s="7">
        <v>169</v>
      </c>
      <c r="IG75" s="7">
        <v>234</v>
      </c>
      <c r="IH75" s="7">
        <v>481</v>
      </c>
      <c r="II75" s="7">
        <v>1079</v>
      </c>
      <c r="IJ75" s="7">
        <v>400</v>
      </c>
      <c r="IK75" s="7">
        <v>196</v>
      </c>
      <c r="IL75" s="7">
        <v>73</v>
      </c>
      <c r="IM75" s="7">
        <v>21</v>
      </c>
      <c r="IN75" s="7">
        <v>12</v>
      </c>
      <c r="IO75" s="7">
        <v>4</v>
      </c>
      <c r="IP75" s="7">
        <v>2</v>
      </c>
      <c r="IQ75" s="7">
        <v>1696</v>
      </c>
      <c r="IR75" s="7">
        <v>408</v>
      </c>
      <c r="IS75" s="7">
        <v>110</v>
      </c>
      <c r="IT75" s="7">
        <v>40</v>
      </c>
      <c r="IU75" s="7">
        <v>16</v>
      </c>
      <c r="IV75" s="7">
        <v>777</v>
      </c>
      <c r="IW75" s="7">
        <v>1230</v>
      </c>
      <c r="IX75" s="7">
        <v>44</v>
      </c>
      <c r="IY75" s="7">
        <v>95</v>
      </c>
      <c r="IZ75" s="7">
        <v>0</v>
      </c>
      <c r="JA75" s="7">
        <v>134</v>
      </c>
      <c r="JB75" s="7">
        <v>1040</v>
      </c>
      <c r="JC75" s="7">
        <v>612</v>
      </c>
      <c r="JD75" s="7">
        <v>91</v>
      </c>
      <c r="JE75" s="7">
        <v>34</v>
      </c>
      <c r="JF75" s="151">
        <v>2020.1382289017624</v>
      </c>
      <c r="JG75" s="151">
        <v>260.12264079739623</v>
      </c>
      <c r="JH75" s="7">
        <v>494</v>
      </c>
      <c r="JI75" s="7">
        <v>1773</v>
      </c>
      <c r="JJ75" s="7">
        <v>15</v>
      </c>
      <c r="JK75" s="7">
        <v>5</v>
      </c>
      <c r="JL75" s="7">
        <v>345</v>
      </c>
      <c r="JM75" s="7">
        <v>50</v>
      </c>
      <c r="JN75" s="7">
        <v>57</v>
      </c>
      <c r="JO75" s="7">
        <v>799</v>
      </c>
      <c r="JP75" s="7">
        <v>939</v>
      </c>
      <c r="JQ75" s="7">
        <v>46</v>
      </c>
      <c r="JR75" s="7">
        <v>19</v>
      </c>
      <c r="JS75" s="7">
        <v>55</v>
      </c>
      <c r="JT75" s="7">
        <v>4</v>
      </c>
      <c r="JU75" s="151">
        <v>57.184621996170748</v>
      </c>
      <c r="JV75" s="151">
        <v>1511.2528553802833</v>
      </c>
      <c r="JW75" s="151">
        <v>440.34084345199494</v>
      </c>
      <c r="JX75" s="151">
        <v>11.359908073313381</v>
      </c>
      <c r="JY75" s="7">
        <v>2157</v>
      </c>
      <c r="JZ75" s="7">
        <v>11818</v>
      </c>
      <c r="KA75" s="7">
        <v>0</v>
      </c>
      <c r="KB75" s="7">
        <v>0</v>
      </c>
      <c r="KC75" s="7">
        <v>0</v>
      </c>
      <c r="KD75" s="7">
        <v>0</v>
      </c>
      <c r="KE75" s="7">
        <v>0</v>
      </c>
      <c r="KF75" s="7">
        <v>0</v>
      </c>
      <c r="KG75" s="7">
        <v>60</v>
      </c>
      <c r="KH75" s="7">
        <v>2377</v>
      </c>
      <c r="KI75" s="7">
        <v>9401</v>
      </c>
      <c r="KJ75" s="7">
        <v>72</v>
      </c>
      <c r="KK75" s="7">
        <v>28</v>
      </c>
      <c r="KL75" s="7">
        <v>297</v>
      </c>
      <c r="KM75" s="7">
        <v>7849</v>
      </c>
      <c r="KN75" s="7">
        <v>2287</v>
      </c>
      <c r="KO75" s="7">
        <v>59</v>
      </c>
      <c r="KP75" s="7">
        <v>10492</v>
      </c>
      <c r="KQ75" s="7">
        <v>1351</v>
      </c>
      <c r="KR75" s="7">
        <v>2219</v>
      </c>
      <c r="KS75" s="7">
        <v>2219</v>
      </c>
      <c r="KT75" s="7">
        <v>533</v>
      </c>
      <c r="KU75" s="7">
        <v>111</v>
      </c>
      <c r="KV75" s="7">
        <v>288</v>
      </c>
      <c r="KW75" s="7">
        <v>0</v>
      </c>
      <c r="KX75" s="7">
        <v>573</v>
      </c>
      <c r="KY75" s="7">
        <v>140</v>
      </c>
      <c r="KZ75" s="7">
        <v>272</v>
      </c>
      <c r="LA75" s="7">
        <v>1</v>
      </c>
      <c r="LB75" s="7">
        <v>1165</v>
      </c>
      <c r="LC75" s="7">
        <v>1151</v>
      </c>
      <c r="LD75" s="7">
        <v>938</v>
      </c>
      <c r="LE75" s="7">
        <v>1482</v>
      </c>
      <c r="LF75" s="7">
        <v>6343</v>
      </c>
      <c r="LG75" s="7">
        <v>25</v>
      </c>
      <c r="LH75" s="7">
        <v>1169</v>
      </c>
      <c r="LI75" s="7">
        <v>242</v>
      </c>
      <c r="LJ75" s="7">
        <v>289</v>
      </c>
      <c r="LK75" s="7">
        <v>0</v>
      </c>
      <c r="LL75" s="7">
        <v>302</v>
      </c>
      <c r="LM75" s="7">
        <v>78</v>
      </c>
      <c r="LN75" s="7">
        <v>20</v>
      </c>
      <c r="LO75" s="7">
        <v>1095</v>
      </c>
      <c r="LP75" s="7">
        <v>216</v>
      </c>
      <c r="LQ75" s="7">
        <v>290</v>
      </c>
      <c r="LR75" s="7">
        <v>1</v>
      </c>
      <c r="LS75" s="7">
        <v>220</v>
      </c>
      <c r="LT75" s="7">
        <v>63</v>
      </c>
      <c r="LU75" s="232">
        <v>4.0203920329000002</v>
      </c>
      <c r="LV75" s="232">
        <v>4.4151989563000003</v>
      </c>
      <c r="LW75" s="232">
        <v>3.6490797545999998</v>
      </c>
      <c r="LX75" s="7">
        <v>2287</v>
      </c>
      <c r="LY75" s="7">
        <v>11878</v>
      </c>
    </row>
    <row r="76" spans="1:337" x14ac:dyDescent="0.25">
      <c r="A76" t="s">
        <v>158</v>
      </c>
      <c r="B76" t="s">
        <v>159</v>
      </c>
      <c r="C76" s="7">
        <v>65673</v>
      </c>
      <c r="D76">
        <v>82059</v>
      </c>
      <c r="F76">
        <f t="shared" si="4"/>
        <v>-82059</v>
      </c>
      <c r="G76">
        <f t="shared" si="5"/>
        <v>-100</v>
      </c>
      <c r="H76">
        <v>40580</v>
      </c>
      <c r="I76">
        <v>41479</v>
      </c>
      <c r="J76">
        <v>43101</v>
      </c>
      <c r="K76">
        <v>38958</v>
      </c>
      <c r="L76" s="7">
        <v>4734</v>
      </c>
      <c r="M76" s="7">
        <v>4952</v>
      </c>
      <c r="N76" s="7">
        <v>4718</v>
      </c>
      <c r="O76" s="7">
        <v>4550</v>
      </c>
      <c r="P76" s="7">
        <v>3871</v>
      </c>
      <c r="Q76" s="7">
        <v>3135</v>
      </c>
      <c r="R76" s="7">
        <v>2884</v>
      </c>
      <c r="S76" s="7">
        <v>2453</v>
      </c>
      <c r="T76" s="7">
        <v>2042</v>
      </c>
      <c r="U76" s="7">
        <v>1742</v>
      </c>
      <c r="V76" s="7">
        <v>1299</v>
      </c>
      <c r="W76" s="7">
        <v>1165</v>
      </c>
      <c r="X76" s="7">
        <v>876</v>
      </c>
      <c r="Y76" s="7">
        <v>1939</v>
      </c>
      <c r="Z76" s="7">
        <v>220</v>
      </c>
      <c r="AA76" s="7">
        <v>4761</v>
      </c>
      <c r="AB76" s="7">
        <v>4770</v>
      </c>
      <c r="AC76" s="7">
        <v>4703</v>
      </c>
      <c r="AD76" s="7">
        <v>4656</v>
      </c>
      <c r="AE76" s="7">
        <v>4106</v>
      </c>
      <c r="AF76" s="7">
        <v>3412</v>
      </c>
      <c r="AG76" s="7">
        <v>3051</v>
      </c>
      <c r="AH76" s="7">
        <v>2699</v>
      </c>
      <c r="AI76" s="7">
        <v>2105</v>
      </c>
      <c r="AJ76" s="7">
        <v>1689</v>
      </c>
      <c r="AK76" s="7">
        <v>1346</v>
      </c>
      <c r="AL76" s="7">
        <v>1073</v>
      </c>
      <c r="AM76" s="7">
        <v>918</v>
      </c>
      <c r="AN76" s="7">
        <v>1970</v>
      </c>
      <c r="AO76" s="7">
        <v>220</v>
      </c>
      <c r="AP76">
        <v>80625</v>
      </c>
      <c r="AQ76">
        <v>756</v>
      </c>
      <c r="AR76">
        <v>13</v>
      </c>
      <c r="AS76">
        <v>32</v>
      </c>
      <c r="AT76">
        <v>633</v>
      </c>
      <c r="AU76" s="7">
        <v>13260</v>
      </c>
      <c r="AV76" s="7">
        <v>6675</v>
      </c>
      <c r="AW76" s="7">
        <v>6585</v>
      </c>
      <c r="AX76" s="7">
        <v>9552</v>
      </c>
      <c r="AY76" s="7">
        <v>13260</v>
      </c>
      <c r="AZ76" s="7">
        <v>12296</v>
      </c>
      <c r="BA76" s="7">
        <v>964</v>
      </c>
      <c r="BB76" s="7">
        <v>402</v>
      </c>
      <c r="BC76" s="7">
        <v>375</v>
      </c>
      <c r="BD76" s="7">
        <v>1015</v>
      </c>
      <c r="BE76" s="7">
        <v>1033</v>
      </c>
      <c r="BF76" s="7">
        <v>1043</v>
      </c>
      <c r="BG76" s="7">
        <v>1012</v>
      </c>
      <c r="BH76" s="7">
        <v>879</v>
      </c>
      <c r="BI76" s="7">
        <v>873</v>
      </c>
      <c r="BJ76" s="7">
        <v>628</v>
      </c>
      <c r="BK76" s="7">
        <v>693</v>
      </c>
      <c r="BL76" s="7">
        <v>517</v>
      </c>
      <c r="BM76" s="7">
        <v>529</v>
      </c>
      <c r="BN76" s="7">
        <v>464</v>
      </c>
      <c r="BO76" s="7">
        <v>458</v>
      </c>
      <c r="BP76" s="7">
        <v>395</v>
      </c>
      <c r="BQ76" s="7">
        <v>389</v>
      </c>
      <c r="BR76" s="7">
        <v>313</v>
      </c>
      <c r="BS76" s="7">
        <v>296</v>
      </c>
      <c r="BT76" s="7">
        <v>290</v>
      </c>
      <c r="BU76" s="7">
        <v>245</v>
      </c>
      <c r="BV76" s="7">
        <v>197</v>
      </c>
      <c r="BW76" s="7">
        <v>189</v>
      </c>
      <c r="BX76" s="7">
        <v>175</v>
      </c>
      <c r="BY76" s="7">
        <v>152</v>
      </c>
      <c r="BZ76" s="7">
        <v>103</v>
      </c>
      <c r="CA76" s="7">
        <v>107</v>
      </c>
      <c r="CB76" s="7">
        <v>254</v>
      </c>
      <c r="CC76" s="7">
        <v>234</v>
      </c>
      <c r="CD76" s="7">
        <v>6100</v>
      </c>
      <c r="CE76" s="7">
        <v>5770</v>
      </c>
      <c r="CF76" s="7">
        <v>420</v>
      </c>
      <c r="CG76" s="7">
        <v>645</v>
      </c>
      <c r="CH76" s="7">
        <v>15181</v>
      </c>
      <c r="CI76" s="7">
        <v>2975</v>
      </c>
      <c r="CJ76" s="7">
        <v>70718</v>
      </c>
      <c r="CK76" s="7">
        <v>10689</v>
      </c>
      <c r="CL76" s="7">
        <v>1070</v>
      </c>
      <c r="CM76" s="7">
        <v>2188</v>
      </c>
      <c r="CN76" s="7">
        <v>3059</v>
      </c>
      <c r="CO76" s="7">
        <v>3939</v>
      </c>
      <c r="CP76" s="7">
        <v>3098</v>
      </c>
      <c r="CQ76" s="7">
        <v>4802</v>
      </c>
      <c r="CR76" s="7">
        <v>14501</v>
      </c>
      <c r="CS76" s="7">
        <v>39702</v>
      </c>
      <c r="CT76" s="7">
        <v>4460</v>
      </c>
      <c r="CU76" s="7">
        <v>1865</v>
      </c>
      <c r="CV76" s="7">
        <v>571</v>
      </c>
      <c r="CW76" s="7">
        <v>1808</v>
      </c>
      <c r="CX76" s="7">
        <v>153</v>
      </c>
      <c r="CY76" s="7">
        <v>54922</v>
      </c>
      <c r="CZ76" s="7">
        <v>23985</v>
      </c>
      <c r="DA76" s="7">
        <v>499</v>
      </c>
      <c r="DB76" s="7">
        <v>1070</v>
      </c>
      <c r="DC76" s="7">
        <v>38</v>
      </c>
      <c r="DD76" s="7">
        <v>14554</v>
      </c>
      <c r="DE76" s="7">
        <v>5283</v>
      </c>
      <c r="DF76" s="7">
        <v>19121</v>
      </c>
      <c r="DG76" s="7">
        <v>3921</v>
      </c>
      <c r="DH76" s="7">
        <v>0</v>
      </c>
      <c r="DI76" s="7">
        <v>39180</v>
      </c>
      <c r="DJ76" s="7">
        <v>0</v>
      </c>
      <c r="DK76" s="7">
        <v>0</v>
      </c>
      <c r="DL76" s="7">
        <v>669</v>
      </c>
      <c r="DM76" s="7">
        <v>16</v>
      </c>
      <c r="DN76" s="7">
        <v>21</v>
      </c>
      <c r="DO76" s="7">
        <v>1</v>
      </c>
      <c r="DP76" s="7">
        <v>0</v>
      </c>
      <c r="DQ76" s="7">
        <v>1</v>
      </c>
      <c r="DR76" s="7">
        <v>0</v>
      </c>
      <c r="DS76" s="7">
        <v>0</v>
      </c>
      <c r="DT76" s="7">
        <v>364</v>
      </c>
      <c r="DU76" s="7">
        <v>418</v>
      </c>
      <c r="DV76" s="7">
        <v>228</v>
      </c>
      <c r="DW76" s="7">
        <v>203</v>
      </c>
      <c r="DX76" s="7">
        <v>109</v>
      </c>
      <c r="DY76" s="7">
        <v>76</v>
      </c>
      <c r="DZ76" s="7">
        <v>119</v>
      </c>
      <c r="EA76" s="7">
        <v>110</v>
      </c>
      <c r="EB76" s="7">
        <v>31</v>
      </c>
      <c r="EC76" s="7">
        <v>26</v>
      </c>
      <c r="ED76" s="7">
        <v>35</v>
      </c>
      <c r="EE76" s="7">
        <v>20</v>
      </c>
      <c r="EF76" s="7">
        <v>83</v>
      </c>
      <c r="EG76" s="7">
        <v>83</v>
      </c>
      <c r="EH76" s="7">
        <v>382</v>
      </c>
      <c r="EI76" s="7">
        <v>207</v>
      </c>
      <c r="EJ76" s="7">
        <v>85</v>
      </c>
      <c r="EK76" s="7">
        <v>95</v>
      </c>
      <c r="EL76" s="7">
        <v>23</v>
      </c>
      <c r="EM76" s="7">
        <v>19</v>
      </c>
      <c r="EN76" s="7">
        <v>68</v>
      </c>
      <c r="EO76" s="7">
        <v>22921</v>
      </c>
      <c r="EP76" s="7">
        <v>22632</v>
      </c>
      <c r="EQ76" s="7">
        <v>289</v>
      </c>
      <c r="ER76" s="7">
        <v>5671</v>
      </c>
      <c r="ES76" s="7">
        <v>5900</v>
      </c>
      <c r="ET76" s="7">
        <v>5840</v>
      </c>
      <c r="EU76" s="7">
        <v>60</v>
      </c>
      <c r="EV76" s="7">
        <v>23846</v>
      </c>
      <c r="EW76" s="134">
        <v>41.276653263</v>
      </c>
      <c r="EX76" s="134">
        <v>19.646538032999999</v>
      </c>
      <c r="EY76" s="134">
        <v>16.666103469999999</v>
      </c>
      <c r="EZ76" s="134">
        <v>21.853140945</v>
      </c>
      <c r="FA76" s="134">
        <v>0.55756428889999998</v>
      </c>
      <c r="FB76" s="7">
        <v>3747</v>
      </c>
      <c r="FC76" s="7">
        <v>13296</v>
      </c>
      <c r="FD76" s="7">
        <v>997</v>
      </c>
      <c r="FE76" s="7">
        <v>4887</v>
      </c>
      <c r="FF76" s="7">
        <v>41</v>
      </c>
      <c r="FG76" s="7">
        <v>2993</v>
      </c>
      <c r="FH76" s="7">
        <v>2804</v>
      </c>
      <c r="FI76" s="134">
        <v>39.107221301999999</v>
      </c>
      <c r="FJ76" s="134">
        <v>33.744466596999999</v>
      </c>
      <c r="FK76" s="134">
        <v>21.491568952000002</v>
      </c>
      <c r="FL76" s="134">
        <v>5.6567431487000004</v>
      </c>
      <c r="FM76" s="151">
        <v>19277</v>
      </c>
      <c r="FN76" s="151">
        <v>20976</v>
      </c>
      <c r="FO76" s="7">
        <v>8315</v>
      </c>
      <c r="FP76" s="7">
        <v>954</v>
      </c>
      <c r="FQ76" s="7">
        <v>213</v>
      </c>
      <c r="FR76" s="7">
        <v>31</v>
      </c>
      <c r="FS76" s="7">
        <v>9564</v>
      </c>
      <c r="FT76" s="7">
        <v>63</v>
      </c>
      <c r="FU76" s="7">
        <v>452</v>
      </c>
      <c r="FV76" s="7">
        <v>327</v>
      </c>
      <c r="FW76" s="7">
        <v>20506</v>
      </c>
      <c r="FX76" s="7">
        <v>20654</v>
      </c>
      <c r="FY76" s="7">
        <v>8654</v>
      </c>
      <c r="FZ76" s="7">
        <v>1057</v>
      </c>
      <c r="GA76" s="7">
        <v>259</v>
      </c>
      <c r="GB76" s="7">
        <v>33</v>
      </c>
      <c r="GC76" s="7">
        <v>10307</v>
      </c>
      <c r="GD76" s="7">
        <v>64</v>
      </c>
      <c r="GE76" s="7">
        <v>434</v>
      </c>
      <c r="GF76" s="7">
        <v>319</v>
      </c>
      <c r="GG76" s="7">
        <v>2228</v>
      </c>
      <c r="GH76" s="7">
        <v>2461</v>
      </c>
      <c r="GI76" s="7">
        <v>2425</v>
      </c>
      <c r="GJ76" s="7">
        <v>2110</v>
      </c>
      <c r="GK76" s="7">
        <v>1675</v>
      </c>
      <c r="GL76" s="7">
        <v>1436</v>
      </c>
      <c r="GM76" s="7">
        <v>1421</v>
      </c>
      <c r="GN76" s="7">
        <v>1214</v>
      </c>
      <c r="GO76" s="7">
        <v>1019</v>
      </c>
      <c r="GP76" s="7">
        <v>862</v>
      </c>
      <c r="GQ76" s="7">
        <v>599</v>
      </c>
      <c r="GR76" s="7">
        <v>527</v>
      </c>
      <c r="GS76" s="7">
        <v>376</v>
      </c>
      <c r="GT76" s="7">
        <v>302</v>
      </c>
      <c r="GU76" s="7">
        <v>246</v>
      </c>
      <c r="GV76" s="7">
        <v>193</v>
      </c>
      <c r="GW76" s="7">
        <v>84</v>
      </c>
      <c r="GX76" s="7">
        <v>98</v>
      </c>
      <c r="GY76" s="7">
        <v>2269</v>
      </c>
      <c r="GZ76" s="7">
        <v>2396</v>
      </c>
      <c r="HA76" s="7">
        <v>2364</v>
      </c>
      <c r="HB76" s="7">
        <v>2220</v>
      </c>
      <c r="HC76" s="7">
        <v>1915</v>
      </c>
      <c r="HD76" s="7">
        <v>1694</v>
      </c>
      <c r="HE76" s="7">
        <v>1601</v>
      </c>
      <c r="HF76" s="7">
        <v>1398</v>
      </c>
      <c r="HG76" s="7">
        <v>1129</v>
      </c>
      <c r="HH76" s="7">
        <v>880</v>
      </c>
      <c r="HI76" s="7">
        <v>667</v>
      </c>
      <c r="HJ76" s="7">
        <v>540</v>
      </c>
      <c r="HK76" s="7">
        <v>463</v>
      </c>
      <c r="HL76" s="7">
        <v>349</v>
      </c>
      <c r="HM76" s="7">
        <v>266</v>
      </c>
      <c r="HN76" s="7">
        <v>165</v>
      </c>
      <c r="HO76" s="7">
        <v>88</v>
      </c>
      <c r="HP76" s="7">
        <v>100</v>
      </c>
      <c r="HQ76" s="7">
        <v>18024</v>
      </c>
      <c r="HR76" s="7">
        <v>18</v>
      </c>
      <c r="HS76" s="7">
        <v>67</v>
      </c>
      <c r="HT76" s="7">
        <v>2</v>
      </c>
      <c r="HU76" s="7">
        <v>0</v>
      </c>
      <c r="HV76" s="7">
        <v>1</v>
      </c>
      <c r="HW76" s="7">
        <v>0</v>
      </c>
      <c r="HX76" s="7">
        <v>189</v>
      </c>
      <c r="HY76" s="7">
        <v>1070</v>
      </c>
      <c r="HZ76" s="7">
        <v>2188</v>
      </c>
      <c r="IA76" s="7">
        <v>3059</v>
      </c>
      <c r="IB76" s="7">
        <v>3939</v>
      </c>
      <c r="IC76" s="7">
        <v>3098</v>
      </c>
      <c r="ID76" s="7">
        <v>2056</v>
      </c>
      <c r="IE76" s="7">
        <v>1107</v>
      </c>
      <c r="IF76" s="7">
        <v>672</v>
      </c>
      <c r="IG76" s="7">
        <v>966</v>
      </c>
      <c r="IH76" s="7">
        <v>2131</v>
      </c>
      <c r="II76" s="7">
        <v>4379</v>
      </c>
      <c r="IJ76" s="7">
        <v>5135</v>
      </c>
      <c r="IK76" s="7">
        <v>3535</v>
      </c>
      <c r="IL76" s="7">
        <v>1762</v>
      </c>
      <c r="IM76" s="7">
        <v>746</v>
      </c>
      <c r="IN76" s="7">
        <v>203</v>
      </c>
      <c r="IO76" s="7">
        <v>99</v>
      </c>
      <c r="IP76" s="7">
        <v>66</v>
      </c>
      <c r="IQ76" s="7">
        <v>9539</v>
      </c>
      <c r="IR76" s="7">
        <v>5702</v>
      </c>
      <c r="IS76" s="7">
        <v>2089</v>
      </c>
      <c r="IT76" s="7">
        <v>616</v>
      </c>
      <c r="IU76" s="7">
        <v>151</v>
      </c>
      <c r="IV76" s="7">
        <v>8027</v>
      </c>
      <c r="IW76" s="7">
        <v>5961</v>
      </c>
      <c r="IX76" s="7">
        <v>618</v>
      </c>
      <c r="IY76" s="7">
        <v>333</v>
      </c>
      <c r="IZ76" s="7">
        <v>965</v>
      </c>
      <c r="JA76" s="7">
        <v>2176</v>
      </c>
      <c r="JB76" s="7">
        <v>9840</v>
      </c>
      <c r="JC76" s="7">
        <v>5899</v>
      </c>
      <c r="JD76" s="7">
        <v>353</v>
      </c>
      <c r="JE76" s="7">
        <v>5</v>
      </c>
      <c r="JF76" s="151">
        <v>17264.112734156573</v>
      </c>
      <c r="JG76" s="151">
        <v>839.47551068836992</v>
      </c>
      <c r="JH76" s="7">
        <v>3430</v>
      </c>
      <c r="JI76" s="7">
        <v>13360</v>
      </c>
      <c r="JJ76" s="7">
        <v>1299</v>
      </c>
      <c r="JK76" s="7">
        <v>66</v>
      </c>
      <c r="JL76" s="7">
        <v>10924</v>
      </c>
      <c r="JM76" s="7">
        <v>7270</v>
      </c>
      <c r="JN76" s="7">
        <v>2947</v>
      </c>
      <c r="JO76" s="7">
        <v>11783</v>
      </c>
      <c r="JP76" s="7">
        <v>14915</v>
      </c>
      <c r="JQ76" s="7">
        <v>1611</v>
      </c>
      <c r="JR76" s="7">
        <v>1900</v>
      </c>
      <c r="JS76" s="7">
        <v>6742</v>
      </c>
      <c r="JT76" s="7">
        <v>814</v>
      </c>
      <c r="JU76" s="151">
        <v>3076.2183100224988</v>
      </c>
      <c r="JV76" s="151">
        <v>12153.883622466185</v>
      </c>
      <c r="JW76" s="151">
        <v>1984.0526416269231</v>
      </c>
      <c r="JX76" s="151">
        <v>49.958160040965694</v>
      </c>
      <c r="JY76" s="7">
        <v>17233</v>
      </c>
      <c r="JZ76" s="7">
        <v>80901</v>
      </c>
      <c r="KA76" s="7">
        <v>61</v>
      </c>
      <c r="KB76" s="7">
        <v>244</v>
      </c>
      <c r="KC76" s="7">
        <v>6</v>
      </c>
      <c r="KD76" s="7">
        <v>0</v>
      </c>
      <c r="KE76" s="7">
        <v>8</v>
      </c>
      <c r="KF76" s="7">
        <v>0</v>
      </c>
      <c r="KG76" s="7">
        <v>622</v>
      </c>
      <c r="KH76" s="7">
        <v>15914</v>
      </c>
      <c r="KI76" s="7">
        <v>59949</v>
      </c>
      <c r="KJ76" s="7">
        <v>5196</v>
      </c>
      <c r="KK76" s="7">
        <v>340</v>
      </c>
      <c r="KL76" s="7">
        <v>13793</v>
      </c>
      <c r="KM76" s="7">
        <v>54495</v>
      </c>
      <c r="KN76" s="7">
        <v>8896</v>
      </c>
      <c r="KO76" s="7">
        <v>224</v>
      </c>
      <c r="KP76" s="7">
        <v>77408</v>
      </c>
      <c r="KQ76" s="7">
        <v>3764</v>
      </c>
      <c r="KR76" s="7">
        <v>11642</v>
      </c>
      <c r="KS76" s="7">
        <v>11642</v>
      </c>
      <c r="KT76" s="7">
        <v>2272</v>
      </c>
      <c r="KU76" s="7">
        <v>741</v>
      </c>
      <c r="KV76" s="7">
        <v>1762</v>
      </c>
      <c r="KW76" s="7">
        <v>3</v>
      </c>
      <c r="KX76" s="7">
        <v>2225</v>
      </c>
      <c r="KY76" s="7">
        <v>787</v>
      </c>
      <c r="KZ76" s="7">
        <v>1884</v>
      </c>
      <c r="LA76" s="7">
        <v>6</v>
      </c>
      <c r="LB76" s="7">
        <v>6753</v>
      </c>
      <c r="LC76" s="7">
        <v>6752</v>
      </c>
      <c r="LD76" s="7">
        <v>3266</v>
      </c>
      <c r="LE76" s="7">
        <v>5181</v>
      </c>
      <c r="LF76" s="7">
        <v>52981</v>
      </c>
      <c r="LG76" s="7">
        <v>78</v>
      </c>
      <c r="LH76" s="7">
        <v>11356</v>
      </c>
      <c r="LI76" s="7">
        <v>1364</v>
      </c>
      <c r="LJ76" s="7">
        <v>4308</v>
      </c>
      <c r="LK76" s="7">
        <v>20</v>
      </c>
      <c r="LL76" s="7">
        <v>3180</v>
      </c>
      <c r="LM76" s="7">
        <v>2266</v>
      </c>
      <c r="LN76" s="7">
        <v>106</v>
      </c>
      <c r="LO76" s="7">
        <v>12050</v>
      </c>
      <c r="LP76" s="7">
        <v>1266</v>
      </c>
      <c r="LQ76" s="7">
        <v>4035</v>
      </c>
      <c r="LR76" s="7">
        <v>45</v>
      </c>
      <c r="LS76" s="7">
        <v>2820</v>
      </c>
      <c r="LT76" s="7">
        <v>1845</v>
      </c>
      <c r="LU76" s="232">
        <v>6.2130911297000004</v>
      </c>
      <c r="LV76" s="232">
        <v>6.5486293944999998</v>
      </c>
      <c r="LW76" s="232">
        <v>5.8910442214999996</v>
      </c>
      <c r="LX76" s="7">
        <v>18155</v>
      </c>
      <c r="LY76" s="7">
        <v>81399</v>
      </c>
    </row>
    <row r="77" spans="1:337" x14ac:dyDescent="0.25">
      <c r="A77" t="s">
        <v>160</v>
      </c>
      <c r="B77" t="s">
        <v>161</v>
      </c>
      <c r="C77" s="7">
        <v>17026</v>
      </c>
      <c r="D77">
        <v>17067</v>
      </c>
      <c r="F77">
        <f t="shared" si="4"/>
        <v>-17067</v>
      </c>
      <c r="G77">
        <f t="shared" si="5"/>
        <v>-100</v>
      </c>
      <c r="H77">
        <v>8614</v>
      </c>
      <c r="I77">
        <v>8453</v>
      </c>
      <c r="J77">
        <v>2979</v>
      </c>
      <c r="K77">
        <v>14088</v>
      </c>
      <c r="L77" s="7">
        <v>991</v>
      </c>
      <c r="M77" s="7">
        <v>977</v>
      </c>
      <c r="N77" s="7">
        <v>1049</v>
      </c>
      <c r="O77" s="7">
        <v>1060</v>
      </c>
      <c r="P77" s="7">
        <v>821</v>
      </c>
      <c r="Q77" s="7">
        <v>621</v>
      </c>
      <c r="R77" s="7">
        <v>500</v>
      </c>
      <c r="S77" s="7">
        <v>468</v>
      </c>
      <c r="T77" s="7">
        <v>449</v>
      </c>
      <c r="U77" s="7">
        <v>385</v>
      </c>
      <c r="V77" s="7">
        <v>324</v>
      </c>
      <c r="W77" s="7">
        <v>272</v>
      </c>
      <c r="X77" s="7">
        <v>205</v>
      </c>
      <c r="Y77" s="7">
        <v>492</v>
      </c>
      <c r="Z77" s="7">
        <v>0</v>
      </c>
      <c r="AA77" s="7">
        <v>951</v>
      </c>
      <c r="AB77" s="7">
        <v>966</v>
      </c>
      <c r="AC77" s="7">
        <v>1074</v>
      </c>
      <c r="AD77" s="7">
        <v>1018</v>
      </c>
      <c r="AE77" s="7">
        <v>787</v>
      </c>
      <c r="AF77" s="7">
        <v>641</v>
      </c>
      <c r="AG77" s="7">
        <v>571</v>
      </c>
      <c r="AH77" s="7">
        <v>535</v>
      </c>
      <c r="AI77" s="7">
        <v>433</v>
      </c>
      <c r="AJ77" s="7">
        <v>385</v>
      </c>
      <c r="AK77" s="7">
        <v>298</v>
      </c>
      <c r="AL77" s="7">
        <v>215</v>
      </c>
      <c r="AM77" s="7">
        <v>189</v>
      </c>
      <c r="AN77" s="7">
        <v>390</v>
      </c>
      <c r="AO77" s="7">
        <v>0</v>
      </c>
      <c r="AP77">
        <v>16398</v>
      </c>
      <c r="AQ77">
        <v>623</v>
      </c>
      <c r="AR77">
        <v>3</v>
      </c>
      <c r="AS77" t="s">
        <v>358</v>
      </c>
      <c r="AT77">
        <v>43</v>
      </c>
      <c r="AU77" s="7">
        <v>616</v>
      </c>
      <c r="AV77" s="7">
        <v>342</v>
      </c>
      <c r="AW77" s="7">
        <v>274</v>
      </c>
      <c r="AX77" s="7">
        <v>819</v>
      </c>
      <c r="AY77" s="7">
        <v>616</v>
      </c>
      <c r="AZ77" s="7">
        <v>572</v>
      </c>
      <c r="BA77" s="7">
        <v>44</v>
      </c>
      <c r="BB77" s="7">
        <v>4</v>
      </c>
      <c r="BC77" s="7">
        <v>2</v>
      </c>
      <c r="BD77" s="7">
        <v>16</v>
      </c>
      <c r="BE77" s="7">
        <v>9</v>
      </c>
      <c r="BF77" s="7">
        <v>23</v>
      </c>
      <c r="BG77" s="7">
        <v>17</v>
      </c>
      <c r="BH77" s="7">
        <v>29</v>
      </c>
      <c r="BI77" s="7">
        <v>26</v>
      </c>
      <c r="BJ77" s="7">
        <v>19</v>
      </c>
      <c r="BK77" s="7">
        <v>22</v>
      </c>
      <c r="BL77" s="7">
        <v>25</v>
      </c>
      <c r="BM77" s="7">
        <v>18</v>
      </c>
      <c r="BN77" s="7">
        <v>18</v>
      </c>
      <c r="BO77" s="7">
        <v>17</v>
      </c>
      <c r="BP77" s="7">
        <v>24</v>
      </c>
      <c r="BQ77" s="7">
        <v>22</v>
      </c>
      <c r="BR77" s="7">
        <v>23</v>
      </c>
      <c r="BS77" s="7">
        <v>26</v>
      </c>
      <c r="BT77" s="7">
        <v>25</v>
      </c>
      <c r="BU77" s="7">
        <v>23</v>
      </c>
      <c r="BV77" s="7">
        <v>31</v>
      </c>
      <c r="BW77" s="7">
        <v>25</v>
      </c>
      <c r="BX77" s="7">
        <v>30</v>
      </c>
      <c r="BY77" s="7">
        <v>12</v>
      </c>
      <c r="BZ77" s="7">
        <v>20</v>
      </c>
      <c r="CA77" s="7">
        <v>17</v>
      </c>
      <c r="CB77" s="7">
        <v>55</v>
      </c>
      <c r="CC77" s="7">
        <v>38</v>
      </c>
      <c r="CD77" s="7">
        <v>321</v>
      </c>
      <c r="CE77" s="7">
        <v>263</v>
      </c>
      <c r="CF77" s="7">
        <v>0</v>
      </c>
      <c r="CG77" s="7">
        <v>2</v>
      </c>
      <c r="CH77" s="7">
        <v>3104</v>
      </c>
      <c r="CI77" s="7">
        <v>549</v>
      </c>
      <c r="CJ77" s="7">
        <v>14963</v>
      </c>
      <c r="CK77" s="7">
        <v>2104</v>
      </c>
      <c r="CL77" s="7">
        <v>188</v>
      </c>
      <c r="CM77" s="7">
        <v>393</v>
      </c>
      <c r="CN77" s="7">
        <v>626</v>
      </c>
      <c r="CO77" s="7">
        <v>715</v>
      </c>
      <c r="CP77" s="7">
        <v>632</v>
      </c>
      <c r="CQ77" s="7">
        <v>1099</v>
      </c>
      <c r="CR77" s="7">
        <v>2905</v>
      </c>
      <c r="CS77" s="7">
        <v>8423</v>
      </c>
      <c r="CT77" s="7">
        <v>1036</v>
      </c>
      <c r="CU77" s="7">
        <v>393</v>
      </c>
      <c r="CV77" s="7">
        <v>171</v>
      </c>
      <c r="CW77" s="7">
        <v>370</v>
      </c>
      <c r="CX77" s="7">
        <v>67</v>
      </c>
      <c r="CY77" s="7">
        <v>10754</v>
      </c>
      <c r="CZ77" s="7">
        <v>5612</v>
      </c>
      <c r="DA77" s="7">
        <v>230</v>
      </c>
      <c r="DB77" s="7">
        <v>188</v>
      </c>
      <c r="DC77" s="7">
        <v>8</v>
      </c>
      <c r="DD77" s="7">
        <v>5363</v>
      </c>
      <c r="DE77" s="7">
        <v>2157</v>
      </c>
      <c r="DF77" s="7">
        <v>6568</v>
      </c>
      <c r="DG77" s="7">
        <v>2979</v>
      </c>
      <c r="DH77" s="7">
        <v>0</v>
      </c>
      <c r="DI77" s="7">
        <v>0</v>
      </c>
      <c r="DJ77" s="7">
        <v>0</v>
      </c>
      <c r="DK77" s="7">
        <v>0</v>
      </c>
      <c r="DL77" s="7">
        <v>87</v>
      </c>
      <c r="DM77" s="7">
        <v>7</v>
      </c>
      <c r="DN77" s="7">
        <v>6</v>
      </c>
      <c r="DO77" s="7">
        <v>1</v>
      </c>
      <c r="DP77" s="7">
        <v>0</v>
      </c>
      <c r="DQ77" s="7">
        <v>0</v>
      </c>
      <c r="DR77" s="7">
        <v>0</v>
      </c>
      <c r="DS77" s="7">
        <v>0</v>
      </c>
      <c r="DT77" s="7">
        <v>103</v>
      </c>
      <c r="DU77" s="7">
        <v>126</v>
      </c>
      <c r="DV77" s="7">
        <v>53</v>
      </c>
      <c r="DW77" s="7">
        <v>48</v>
      </c>
      <c r="DX77" s="7">
        <v>26</v>
      </c>
      <c r="DY77" s="7">
        <v>13</v>
      </c>
      <c r="DZ77" s="7">
        <v>18</v>
      </c>
      <c r="EA77" s="7">
        <v>19</v>
      </c>
      <c r="EB77" s="7">
        <v>5</v>
      </c>
      <c r="EC77" s="7">
        <v>7</v>
      </c>
      <c r="ED77" s="7">
        <v>6</v>
      </c>
      <c r="EE77" s="7">
        <v>10</v>
      </c>
      <c r="EF77" s="7">
        <v>17</v>
      </c>
      <c r="EG77" s="7">
        <v>9</v>
      </c>
      <c r="EH77" s="7">
        <v>183</v>
      </c>
      <c r="EI77" s="7">
        <v>78</v>
      </c>
      <c r="EJ77" s="7">
        <v>25</v>
      </c>
      <c r="EK77" s="7">
        <v>20</v>
      </c>
      <c r="EL77" s="7">
        <v>6</v>
      </c>
      <c r="EM77" s="7">
        <v>11</v>
      </c>
      <c r="EN77" s="7">
        <v>12</v>
      </c>
      <c r="EO77" s="7">
        <v>4811</v>
      </c>
      <c r="EP77" s="7">
        <v>4675</v>
      </c>
      <c r="EQ77" s="7">
        <v>136</v>
      </c>
      <c r="ER77" s="7">
        <v>1399</v>
      </c>
      <c r="ES77" s="7">
        <v>534</v>
      </c>
      <c r="ET77" s="7">
        <v>526</v>
      </c>
      <c r="EU77" s="7">
        <v>8</v>
      </c>
      <c r="EV77" s="7">
        <v>5581</v>
      </c>
      <c r="EW77" s="134">
        <v>63.382861794999997</v>
      </c>
      <c r="EX77" s="134">
        <v>11.052310197000001</v>
      </c>
      <c r="EY77" s="134">
        <v>7.1239568491999998</v>
      </c>
      <c r="EZ77" s="134">
        <v>17.667412985999999</v>
      </c>
      <c r="FA77" s="134">
        <v>0.77345817220000002</v>
      </c>
      <c r="FB77" s="7">
        <v>966</v>
      </c>
      <c r="FC77" s="7">
        <v>2340</v>
      </c>
      <c r="FD77" s="7">
        <v>238</v>
      </c>
      <c r="FE77" s="7">
        <v>990</v>
      </c>
      <c r="FF77" s="7">
        <v>3</v>
      </c>
      <c r="FG77" s="7">
        <v>550</v>
      </c>
      <c r="FH77" s="7">
        <v>256</v>
      </c>
      <c r="FI77" s="134">
        <v>45.288011398000002</v>
      </c>
      <c r="FJ77" s="134">
        <v>32.587014044</v>
      </c>
      <c r="FK77" s="134">
        <v>19.356808467</v>
      </c>
      <c r="FL77" s="134">
        <v>2.7681660899999998</v>
      </c>
      <c r="FM77" s="151">
        <v>5470</v>
      </c>
      <c r="FN77" s="151">
        <v>3130</v>
      </c>
      <c r="FO77" s="7">
        <v>216</v>
      </c>
      <c r="FP77" s="7">
        <v>73</v>
      </c>
      <c r="FQ77" s="7">
        <v>30</v>
      </c>
      <c r="FR77" s="7">
        <v>21</v>
      </c>
      <c r="FS77" s="7">
        <v>5099</v>
      </c>
      <c r="FT77" s="7">
        <v>18</v>
      </c>
      <c r="FU77" s="7">
        <v>28</v>
      </c>
      <c r="FV77" s="7">
        <v>14</v>
      </c>
      <c r="FW77" s="7">
        <v>5843</v>
      </c>
      <c r="FX77" s="7">
        <v>2592</v>
      </c>
      <c r="FY77" s="7">
        <v>153</v>
      </c>
      <c r="FZ77" s="7">
        <v>71</v>
      </c>
      <c r="GA77" s="7">
        <v>32</v>
      </c>
      <c r="GB77" s="7">
        <v>24</v>
      </c>
      <c r="GC77" s="7">
        <v>5543</v>
      </c>
      <c r="GD77" s="7">
        <v>15</v>
      </c>
      <c r="GE77" s="7">
        <v>20</v>
      </c>
      <c r="GF77" s="7">
        <v>18</v>
      </c>
      <c r="GG77" s="7">
        <v>573</v>
      </c>
      <c r="GH77" s="7">
        <v>684</v>
      </c>
      <c r="GI77" s="7">
        <v>764</v>
      </c>
      <c r="GJ77" s="7">
        <v>644</v>
      </c>
      <c r="GK77" s="7">
        <v>392</v>
      </c>
      <c r="GL77" s="7">
        <v>326</v>
      </c>
      <c r="GM77" s="7">
        <v>318</v>
      </c>
      <c r="GN77" s="7">
        <v>305</v>
      </c>
      <c r="GO77" s="7">
        <v>299</v>
      </c>
      <c r="GP77" s="7">
        <v>271</v>
      </c>
      <c r="GQ77" s="7">
        <v>202</v>
      </c>
      <c r="GR77" s="7">
        <v>177</v>
      </c>
      <c r="GS77" s="7">
        <v>138</v>
      </c>
      <c r="GT77" s="7">
        <v>120</v>
      </c>
      <c r="GU77" s="7">
        <v>123</v>
      </c>
      <c r="GV77" s="7">
        <v>71</v>
      </c>
      <c r="GW77" s="7">
        <v>41</v>
      </c>
      <c r="GX77" s="7">
        <v>22</v>
      </c>
      <c r="GY77" s="7">
        <v>521</v>
      </c>
      <c r="GZ77" s="7">
        <v>659</v>
      </c>
      <c r="HA77" s="7">
        <v>785</v>
      </c>
      <c r="HB77" s="7">
        <v>655</v>
      </c>
      <c r="HC77" s="7">
        <v>455</v>
      </c>
      <c r="HD77" s="7">
        <v>419</v>
      </c>
      <c r="HE77" s="7">
        <v>414</v>
      </c>
      <c r="HF77" s="7">
        <v>427</v>
      </c>
      <c r="HG77" s="7">
        <v>353</v>
      </c>
      <c r="HH77" s="7">
        <v>291</v>
      </c>
      <c r="HI77" s="7">
        <v>229</v>
      </c>
      <c r="HJ77" s="7">
        <v>164</v>
      </c>
      <c r="HK77" s="7">
        <v>152</v>
      </c>
      <c r="HL77" s="7">
        <v>109</v>
      </c>
      <c r="HM77" s="7">
        <v>97</v>
      </c>
      <c r="HN77" s="7">
        <v>62</v>
      </c>
      <c r="HO77" s="7">
        <v>25</v>
      </c>
      <c r="HP77" s="7">
        <v>26</v>
      </c>
      <c r="HQ77" s="7">
        <v>3637</v>
      </c>
      <c r="HR77" s="7">
        <v>0</v>
      </c>
      <c r="HS77" s="7">
        <v>0</v>
      </c>
      <c r="HT77" s="7">
        <v>3</v>
      </c>
      <c r="HU77" s="7">
        <v>1</v>
      </c>
      <c r="HV77" s="7">
        <v>2</v>
      </c>
      <c r="HW77" s="7">
        <v>0</v>
      </c>
      <c r="HX77" s="7">
        <v>10</v>
      </c>
      <c r="HY77" s="7">
        <v>188</v>
      </c>
      <c r="HZ77" s="7">
        <v>391</v>
      </c>
      <c r="IA77" s="7">
        <v>626</v>
      </c>
      <c r="IB77" s="7">
        <v>715</v>
      </c>
      <c r="IC77" s="7">
        <v>631</v>
      </c>
      <c r="ID77" s="7">
        <v>428</v>
      </c>
      <c r="IE77" s="7">
        <v>271</v>
      </c>
      <c r="IF77" s="7">
        <v>182</v>
      </c>
      <c r="IG77" s="7">
        <v>218</v>
      </c>
      <c r="IH77" s="7">
        <v>351</v>
      </c>
      <c r="II77" s="7">
        <v>1107</v>
      </c>
      <c r="IJ77" s="7">
        <v>1299</v>
      </c>
      <c r="IK77" s="7">
        <v>592</v>
      </c>
      <c r="IL77" s="7">
        <v>221</v>
      </c>
      <c r="IM77" s="7">
        <v>62</v>
      </c>
      <c r="IN77" s="7">
        <v>10</v>
      </c>
      <c r="IO77" s="7">
        <v>0</v>
      </c>
      <c r="IP77" s="7">
        <v>2</v>
      </c>
      <c r="IQ77" s="7">
        <v>1611</v>
      </c>
      <c r="IR77" s="7">
        <v>1482</v>
      </c>
      <c r="IS77" s="7">
        <v>409</v>
      </c>
      <c r="IT77" s="7">
        <v>126</v>
      </c>
      <c r="IU77" s="7">
        <v>17</v>
      </c>
      <c r="IV77" s="7">
        <v>1291</v>
      </c>
      <c r="IW77" s="7">
        <v>492</v>
      </c>
      <c r="IX77" s="7">
        <v>862</v>
      </c>
      <c r="IY77" s="7">
        <v>12</v>
      </c>
      <c r="IZ77" s="7">
        <v>0</v>
      </c>
      <c r="JA77" s="7">
        <v>987</v>
      </c>
      <c r="JB77" s="7">
        <v>1746</v>
      </c>
      <c r="JC77" s="7">
        <v>1444</v>
      </c>
      <c r="JD77" s="7">
        <v>50</v>
      </c>
      <c r="JE77" s="7">
        <v>15</v>
      </c>
      <c r="JF77" s="151">
        <v>3298.9801050930537</v>
      </c>
      <c r="JG77" s="151">
        <v>342.67612718185808</v>
      </c>
      <c r="JH77" s="7">
        <v>427</v>
      </c>
      <c r="JI77" s="7">
        <v>3140</v>
      </c>
      <c r="JJ77" s="7">
        <v>83</v>
      </c>
      <c r="JK77" s="7">
        <v>0</v>
      </c>
      <c r="JL77" s="7">
        <v>2182</v>
      </c>
      <c r="JM77" s="7">
        <v>1269</v>
      </c>
      <c r="JN77" s="7">
        <v>439</v>
      </c>
      <c r="JO77" s="7">
        <v>1469</v>
      </c>
      <c r="JP77" s="7">
        <v>2635</v>
      </c>
      <c r="JQ77" s="7">
        <v>164</v>
      </c>
      <c r="JR77" s="7">
        <v>412</v>
      </c>
      <c r="JS77" s="7">
        <v>1108</v>
      </c>
      <c r="JT77" s="7">
        <v>33</v>
      </c>
      <c r="JU77" s="151">
        <v>567.63091148425212</v>
      </c>
      <c r="JV77" s="151">
        <v>2683.4045012360743</v>
      </c>
      <c r="JW77" s="151">
        <v>41.095450605194728</v>
      </c>
      <c r="JX77" s="151">
        <v>6.8492417675324546</v>
      </c>
      <c r="JY77" s="7">
        <v>3279</v>
      </c>
      <c r="JZ77" s="7">
        <v>16991</v>
      </c>
      <c r="KA77" s="7">
        <v>0</v>
      </c>
      <c r="KB77" s="7">
        <v>0</v>
      </c>
      <c r="KC77" s="7">
        <v>11</v>
      </c>
      <c r="KD77" s="7">
        <v>2</v>
      </c>
      <c r="KE77" s="7">
        <v>7</v>
      </c>
      <c r="KF77" s="7">
        <v>0</v>
      </c>
      <c r="KG77" s="7">
        <v>56</v>
      </c>
      <c r="KH77" s="7">
        <v>2067</v>
      </c>
      <c r="KI77" s="7">
        <v>14645</v>
      </c>
      <c r="KJ77" s="7">
        <v>346</v>
      </c>
      <c r="KK77" s="7">
        <v>0</v>
      </c>
      <c r="KL77" s="7">
        <v>2652</v>
      </c>
      <c r="KM77" s="7">
        <v>12537</v>
      </c>
      <c r="KN77" s="7">
        <v>192</v>
      </c>
      <c r="KO77" s="7">
        <v>32</v>
      </c>
      <c r="KP77" s="7">
        <v>15413</v>
      </c>
      <c r="KQ77" s="7">
        <v>1601</v>
      </c>
      <c r="KR77" s="7">
        <v>2596</v>
      </c>
      <c r="KS77" s="7">
        <v>2596</v>
      </c>
      <c r="KT77" s="7">
        <v>446</v>
      </c>
      <c r="KU77" s="7">
        <v>160</v>
      </c>
      <c r="KV77" s="7">
        <v>494</v>
      </c>
      <c r="KW77" s="7">
        <v>1</v>
      </c>
      <c r="KX77" s="7">
        <v>434</v>
      </c>
      <c r="KY77" s="7">
        <v>172</v>
      </c>
      <c r="KZ77" s="7">
        <v>441</v>
      </c>
      <c r="LA77" s="7">
        <v>1</v>
      </c>
      <c r="LB77" s="7">
        <v>1566</v>
      </c>
      <c r="LC77" s="7">
        <v>1607</v>
      </c>
      <c r="LD77" s="7">
        <v>839</v>
      </c>
      <c r="LE77" s="7">
        <v>1237</v>
      </c>
      <c r="LF77" s="7">
        <v>11059</v>
      </c>
      <c r="LG77" s="7">
        <v>18</v>
      </c>
      <c r="LH77" s="7">
        <v>2213</v>
      </c>
      <c r="LI77" s="7">
        <v>381</v>
      </c>
      <c r="LJ77" s="7">
        <v>1017</v>
      </c>
      <c r="LK77" s="7">
        <v>3</v>
      </c>
      <c r="LL77" s="7">
        <v>719</v>
      </c>
      <c r="LM77" s="7">
        <v>218</v>
      </c>
      <c r="LN77" s="7">
        <v>12</v>
      </c>
      <c r="LO77" s="7">
        <v>2236</v>
      </c>
      <c r="LP77" s="7">
        <v>277</v>
      </c>
      <c r="LQ77" s="7">
        <v>843</v>
      </c>
      <c r="LR77" s="7">
        <v>2</v>
      </c>
      <c r="LS77" s="7">
        <v>612</v>
      </c>
      <c r="LT77" s="7">
        <v>160</v>
      </c>
      <c r="LU77" s="232">
        <v>5.5605182097999997</v>
      </c>
      <c r="LV77" s="232">
        <v>5.8785381583999996</v>
      </c>
      <c r="LW77" s="232">
        <v>5.2351539588999998</v>
      </c>
      <c r="LX77" s="7">
        <v>3650</v>
      </c>
      <c r="LY77" s="7">
        <v>17058</v>
      </c>
    </row>
    <row r="78" spans="1:337" x14ac:dyDescent="0.25">
      <c r="A78" t="s">
        <v>162</v>
      </c>
      <c r="B78" t="s">
        <v>163</v>
      </c>
      <c r="C78" s="7">
        <v>3132</v>
      </c>
      <c r="D78">
        <v>3792</v>
      </c>
      <c r="F78">
        <f t="shared" si="4"/>
        <v>-3792</v>
      </c>
      <c r="G78">
        <f t="shared" si="5"/>
        <v>-100</v>
      </c>
      <c r="H78">
        <v>1894</v>
      </c>
      <c r="I78">
        <v>1898</v>
      </c>
      <c r="J78">
        <v>0</v>
      </c>
      <c r="K78">
        <v>3792</v>
      </c>
      <c r="L78" s="7">
        <v>230</v>
      </c>
      <c r="M78" s="7">
        <v>243</v>
      </c>
      <c r="N78" s="7">
        <v>199</v>
      </c>
      <c r="O78" s="7">
        <v>177</v>
      </c>
      <c r="P78" s="7">
        <v>213</v>
      </c>
      <c r="Q78" s="7">
        <v>157</v>
      </c>
      <c r="R78" s="7">
        <v>165</v>
      </c>
      <c r="S78" s="7">
        <v>121</v>
      </c>
      <c r="T78" s="7">
        <v>81</v>
      </c>
      <c r="U78" s="7">
        <v>65</v>
      </c>
      <c r="V78" s="7">
        <v>62</v>
      </c>
      <c r="W78" s="7">
        <v>51</v>
      </c>
      <c r="X78" s="7">
        <v>35</v>
      </c>
      <c r="Y78" s="7">
        <v>95</v>
      </c>
      <c r="Z78" s="7">
        <v>0</v>
      </c>
      <c r="AA78" s="7">
        <v>223</v>
      </c>
      <c r="AB78" s="7">
        <v>222</v>
      </c>
      <c r="AC78" s="7">
        <v>205</v>
      </c>
      <c r="AD78" s="7">
        <v>187</v>
      </c>
      <c r="AE78" s="7">
        <v>193</v>
      </c>
      <c r="AF78" s="7">
        <v>182</v>
      </c>
      <c r="AG78" s="7">
        <v>165</v>
      </c>
      <c r="AH78" s="7">
        <v>110</v>
      </c>
      <c r="AI78" s="7">
        <v>77</v>
      </c>
      <c r="AJ78" s="7">
        <v>86</v>
      </c>
      <c r="AK78" s="7">
        <v>59</v>
      </c>
      <c r="AL78" s="7">
        <v>55</v>
      </c>
      <c r="AM78" s="7">
        <v>40</v>
      </c>
      <c r="AN78" s="7">
        <v>94</v>
      </c>
      <c r="AO78" s="7">
        <v>0</v>
      </c>
      <c r="AP78">
        <v>3436</v>
      </c>
      <c r="AQ78">
        <v>353</v>
      </c>
      <c r="AR78" t="s">
        <v>358</v>
      </c>
      <c r="AS78">
        <v>1</v>
      </c>
      <c r="AT78">
        <v>2</v>
      </c>
      <c r="AU78" s="7">
        <v>354</v>
      </c>
      <c r="AV78" s="7">
        <v>181</v>
      </c>
      <c r="AW78" s="7">
        <v>173</v>
      </c>
      <c r="AX78" s="7">
        <v>273</v>
      </c>
      <c r="AY78" s="7">
        <v>354</v>
      </c>
      <c r="AZ78" s="7">
        <v>354</v>
      </c>
      <c r="BA78" s="7">
        <v>0</v>
      </c>
      <c r="BB78" s="7">
        <v>3</v>
      </c>
      <c r="BC78" s="7">
        <v>7</v>
      </c>
      <c r="BD78" s="7">
        <v>22</v>
      </c>
      <c r="BE78" s="7">
        <v>17</v>
      </c>
      <c r="BF78" s="7">
        <v>33</v>
      </c>
      <c r="BG78" s="7">
        <v>29</v>
      </c>
      <c r="BH78" s="7">
        <v>18</v>
      </c>
      <c r="BI78" s="7">
        <v>30</v>
      </c>
      <c r="BJ78" s="7">
        <v>26</v>
      </c>
      <c r="BK78" s="7">
        <v>16</v>
      </c>
      <c r="BL78" s="7">
        <v>15</v>
      </c>
      <c r="BM78" s="7">
        <v>12</v>
      </c>
      <c r="BN78" s="7">
        <v>15</v>
      </c>
      <c r="BO78" s="7">
        <v>15</v>
      </c>
      <c r="BP78" s="7">
        <v>15</v>
      </c>
      <c r="BQ78" s="7">
        <v>9</v>
      </c>
      <c r="BR78" s="7">
        <v>7</v>
      </c>
      <c r="BS78" s="7">
        <v>7</v>
      </c>
      <c r="BT78" s="7">
        <v>6</v>
      </c>
      <c r="BU78" s="7">
        <v>10</v>
      </c>
      <c r="BV78" s="7">
        <v>8</v>
      </c>
      <c r="BW78" s="7">
        <v>4</v>
      </c>
      <c r="BX78" s="7">
        <v>4</v>
      </c>
      <c r="BY78" s="7">
        <v>5</v>
      </c>
      <c r="BZ78" s="7">
        <v>3</v>
      </c>
      <c r="CA78" s="7">
        <v>4</v>
      </c>
      <c r="CB78" s="7">
        <v>6</v>
      </c>
      <c r="CC78" s="7">
        <v>8</v>
      </c>
      <c r="CD78" s="7">
        <v>171</v>
      </c>
      <c r="CE78" s="7">
        <v>168</v>
      </c>
      <c r="CF78" s="7">
        <v>0</v>
      </c>
      <c r="CG78" s="7">
        <v>2</v>
      </c>
      <c r="CH78" s="7">
        <v>789</v>
      </c>
      <c r="CI78" s="7">
        <v>130</v>
      </c>
      <c r="CJ78" s="7">
        <v>3376</v>
      </c>
      <c r="CK78" s="7">
        <v>416</v>
      </c>
      <c r="CL78" s="7">
        <v>60</v>
      </c>
      <c r="CM78" s="7">
        <v>119</v>
      </c>
      <c r="CN78" s="7">
        <v>176</v>
      </c>
      <c r="CO78" s="7">
        <v>231</v>
      </c>
      <c r="CP78" s="7">
        <v>152</v>
      </c>
      <c r="CQ78" s="7">
        <v>181</v>
      </c>
      <c r="CR78" s="7">
        <v>743</v>
      </c>
      <c r="CS78" s="7">
        <v>1861</v>
      </c>
      <c r="CT78" s="7">
        <v>145</v>
      </c>
      <c r="CU78" s="7">
        <v>42</v>
      </c>
      <c r="CV78" s="7">
        <v>20</v>
      </c>
      <c r="CW78" s="7">
        <v>54</v>
      </c>
      <c r="CX78" s="7">
        <v>1</v>
      </c>
      <c r="CY78" s="7">
        <v>2947</v>
      </c>
      <c r="CZ78" s="7">
        <v>743</v>
      </c>
      <c r="DA78" s="7">
        <v>3</v>
      </c>
      <c r="DB78" s="7">
        <v>60</v>
      </c>
      <c r="DC78" s="7">
        <v>0</v>
      </c>
      <c r="DD78" s="7">
        <v>538</v>
      </c>
      <c r="DE78" s="7">
        <v>0</v>
      </c>
      <c r="DF78" s="7">
        <v>3254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10</v>
      </c>
      <c r="DM78" s="7">
        <v>0</v>
      </c>
      <c r="DN78" s="7">
        <v>3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61</v>
      </c>
      <c r="DU78" s="7">
        <v>53</v>
      </c>
      <c r="DV78" s="7">
        <v>28</v>
      </c>
      <c r="DW78" s="7">
        <v>23</v>
      </c>
      <c r="DX78" s="7">
        <v>20</v>
      </c>
      <c r="DY78" s="7">
        <v>6</v>
      </c>
      <c r="DZ78" s="7">
        <v>13</v>
      </c>
      <c r="EA78" s="7">
        <v>11</v>
      </c>
      <c r="EB78" s="7">
        <v>2</v>
      </c>
      <c r="EC78" s="7">
        <v>2</v>
      </c>
      <c r="ED78" s="7">
        <v>0</v>
      </c>
      <c r="EE78" s="7">
        <v>1</v>
      </c>
      <c r="EF78" s="7">
        <v>9</v>
      </c>
      <c r="EG78" s="7">
        <v>7</v>
      </c>
      <c r="EH78" s="7">
        <v>66</v>
      </c>
      <c r="EI78" s="7">
        <v>26</v>
      </c>
      <c r="EJ78" s="7">
        <v>14</v>
      </c>
      <c r="EK78" s="7">
        <v>15</v>
      </c>
      <c r="EL78" s="7">
        <v>3</v>
      </c>
      <c r="EM78" s="7">
        <v>1</v>
      </c>
      <c r="EN78" s="7">
        <v>11</v>
      </c>
      <c r="EO78" s="7">
        <v>1056</v>
      </c>
      <c r="EP78" s="7">
        <v>1009</v>
      </c>
      <c r="EQ78" s="7">
        <v>47</v>
      </c>
      <c r="ER78" s="7">
        <v>277</v>
      </c>
      <c r="ES78" s="7">
        <v>242</v>
      </c>
      <c r="ET78" s="7">
        <v>239</v>
      </c>
      <c r="EU78" s="7">
        <v>3</v>
      </c>
      <c r="EV78" s="7">
        <v>1126</v>
      </c>
      <c r="EW78" s="134">
        <v>44.489139178999999</v>
      </c>
      <c r="EX78" s="134">
        <v>18.744971842000002</v>
      </c>
      <c r="EY78" s="134">
        <v>5.2292839902999999</v>
      </c>
      <c r="EZ78" s="134">
        <v>31.375703942000001</v>
      </c>
      <c r="FA78" s="134">
        <v>0.16090104590000001</v>
      </c>
      <c r="FB78" s="7">
        <v>68</v>
      </c>
      <c r="FC78" s="7">
        <v>585</v>
      </c>
      <c r="FD78" s="7">
        <v>58</v>
      </c>
      <c r="FE78" s="7">
        <v>349</v>
      </c>
      <c r="FF78" s="7">
        <v>1</v>
      </c>
      <c r="FG78" s="7">
        <v>173</v>
      </c>
      <c r="FH78" s="7">
        <v>62</v>
      </c>
      <c r="FI78" s="134">
        <v>49.477071600999999</v>
      </c>
      <c r="FJ78" s="134">
        <v>15.285599356000001</v>
      </c>
      <c r="FK78" s="134">
        <v>30.088495575</v>
      </c>
      <c r="FL78" s="134">
        <v>5.1488334674000003</v>
      </c>
      <c r="FM78" s="151">
        <v>1363</v>
      </c>
      <c r="FN78" s="151">
        <v>508</v>
      </c>
      <c r="FO78" s="7">
        <v>108</v>
      </c>
      <c r="FP78" s="7">
        <v>17</v>
      </c>
      <c r="FQ78" s="7">
        <v>11</v>
      </c>
      <c r="FR78" s="7">
        <v>227</v>
      </c>
      <c r="FS78" s="7">
        <v>850</v>
      </c>
      <c r="FT78" s="7">
        <v>21</v>
      </c>
      <c r="FU78" s="7">
        <v>130</v>
      </c>
      <c r="FV78" s="7">
        <v>23</v>
      </c>
      <c r="FW78" s="7">
        <v>1376</v>
      </c>
      <c r="FX78" s="7">
        <v>503</v>
      </c>
      <c r="FY78" s="7">
        <v>109</v>
      </c>
      <c r="FZ78" s="7">
        <v>17</v>
      </c>
      <c r="GA78" s="7">
        <v>12</v>
      </c>
      <c r="GB78" s="7">
        <v>203</v>
      </c>
      <c r="GC78" s="7">
        <v>892</v>
      </c>
      <c r="GD78" s="7">
        <v>18</v>
      </c>
      <c r="GE78" s="7">
        <v>128</v>
      </c>
      <c r="GF78" s="7">
        <v>19</v>
      </c>
      <c r="GG78" s="7">
        <v>175</v>
      </c>
      <c r="GH78" s="7">
        <v>166</v>
      </c>
      <c r="GI78" s="7">
        <v>161</v>
      </c>
      <c r="GJ78" s="7">
        <v>137</v>
      </c>
      <c r="GK78" s="7">
        <v>141</v>
      </c>
      <c r="GL78" s="7">
        <v>111</v>
      </c>
      <c r="GM78" s="7">
        <v>134</v>
      </c>
      <c r="GN78" s="7">
        <v>96</v>
      </c>
      <c r="GO78" s="7">
        <v>49</v>
      </c>
      <c r="GP78" s="7">
        <v>39</v>
      </c>
      <c r="GQ78" s="7">
        <v>39</v>
      </c>
      <c r="GR78" s="7">
        <v>33</v>
      </c>
      <c r="GS78" s="7">
        <v>23</v>
      </c>
      <c r="GT78" s="7">
        <v>17</v>
      </c>
      <c r="GU78" s="7">
        <v>21</v>
      </c>
      <c r="GV78" s="7">
        <v>12</v>
      </c>
      <c r="GW78" s="7">
        <v>8</v>
      </c>
      <c r="GX78" s="7">
        <v>1</v>
      </c>
      <c r="GY78" s="7">
        <v>174</v>
      </c>
      <c r="GZ78" s="7">
        <v>179</v>
      </c>
      <c r="HA78" s="7">
        <v>160</v>
      </c>
      <c r="HB78" s="7">
        <v>122</v>
      </c>
      <c r="HC78" s="7">
        <v>133</v>
      </c>
      <c r="HD78" s="7">
        <v>134</v>
      </c>
      <c r="HE78" s="7">
        <v>125</v>
      </c>
      <c r="HF78" s="7">
        <v>83</v>
      </c>
      <c r="HG78" s="7">
        <v>51</v>
      </c>
      <c r="HH78" s="7">
        <v>53</v>
      </c>
      <c r="HI78" s="7">
        <v>40</v>
      </c>
      <c r="HJ78" s="7">
        <v>40</v>
      </c>
      <c r="HK78" s="7">
        <v>24</v>
      </c>
      <c r="HL78" s="7">
        <v>16</v>
      </c>
      <c r="HM78" s="7">
        <v>19</v>
      </c>
      <c r="HN78" s="7">
        <v>15</v>
      </c>
      <c r="HO78" s="7">
        <v>7</v>
      </c>
      <c r="HP78" s="7">
        <v>1</v>
      </c>
      <c r="HQ78" s="7">
        <v>914</v>
      </c>
      <c r="HR78" s="7">
        <v>0</v>
      </c>
      <c r="HS78" s="7">
        <v>0</v>
      </c>
      <c r="HT78" s="7">
        <v>0</v>
      </c>
      <c r="HU78" s="7">
        <v>0</v>
      </c>
      <c r="HV78" s="7">
        <v>0</v>
      </c>
      <c r="HW78" s="7">
        <v>0</v>
      </c>
      <c r="HX78" s="7">
        <v>5</v>
      </c>
      <c r="HY78" s="7">
        <v>60</v>
      </c>
      <c r="HZ78" s="7">
        <v>119</v>
      </c>
      <c r="IA78" s="7">
        <v>176</v>
      </c>
      <c r="IB78" s="7">
        <v>231</v>
      </c>
      <c r="IC78" s="7">
        <v>152</v>
      </c>
      <c r="ID78" s="7">
        <v>79</v>
      </c>
      <c r="IE78" s="7">
        <v>46</v>
      </c>
      <c r="IF78" s="7">
        <v>27</v>
      </c>
      <c r="IG78" s="7">
        <v>29</v>
      </c>
      <c r="IH78" s="7">
        <v>108</v>
      </c>
      <c r="II78" s="7">
        <v>345</v>
      </c>
      <c r="IJ78" s="7">
        <v>265</v>
      </c>
      <c r="IK78" s="7">
        <v>138</v>
      </c>
      <c r="IL78" s="7">
        <v>43</v>
      </c>
      <c r="IM78" s="7">
        <v>12</v>
      </c>
      <c r="IN78" s="7">
        <v>1</v>
      </c>
      <c r="IO78" s="7">
        <v>1</v>
      </c>
      <c r="IP78" s="7">
        <v>1</v>
      </c>
      <c r="IQ78" s="7">
        <v>560</v>
      </c>
      <c r="IR78" s="7">
        <v>248</v>
      </c>
      <c r="IS78" s="7">
        <v>89</v>
      </c>
      <c r="IT78" s="7">
        <v>15</v>
      </c>
      <c r="IU78" s="7">
        <v>4</v>
      </c>
      <c r="IV78" s="7">
        <v>497</v>
      </c>
      <c r="IW78" s="7">
        <v>401</v>
      </c>
      <c r="IX78" s="7">
        <v>2</v>
      </c>
      <c r="IY78" s="7">
        <v>10</v>
      </c>
      <c r="IZ78" s="7">
        <v>0</v>
      </c>
      <c r="JA78" s="7">
        <v>8</v>
      </c>
      <c r="JB78" s="7">
        <v>585</v>
      </c>
      <c r="JC78" s="7">
        <v>260</v>
      </c>
      <c r="JD78" s="7">
        <v>63</v>
      </c>
      <c r="JE78" s="7">
        <v>1</v>
      </c>
      <c r="JF78" s="151">
        <v>902.7624287968855</v>
      </c>
      <c r="JG78" s="151">
        <v>16.237606101850023</v>
      </c>
      <c r="JH78" s="7">
        <v>32</v>
      </c>
      <c r="JI78" s="7">
        <v>838</v>
      </c>
      <c r="JJ78" s="7">
        <v>49</v>
      </c>
      <c r="JK78" s="7">
        <v>0</v>
      </c>
      <c r="JL78" s="7">
        <v>591</v>
      </c>
      <c r="JM78" s="7">
        <v>321</v>
      </c>
      <c r="JN78" s="7">
        <v>96</v>
      </c>
      <c r="JO78" s="7">
        <v>481</v>
      </c>
      <c r="JP78" s="7">
        <v>709</v>
      </c>
      <c r="JQ78" s="7">
        <v>87</v>
      </c>
      <c r="JR78" s="7">
        <v>116</v>
      </c>
      <c r="JS78" s="7">
        <v>461</v>
      </c>
      <c r="JT78" s="7">
        <v>32</v>
      </c>
      <c r="JU78" s="151">
        <v>277.49341771072051</v>
      </c>
      <c r="JV78" s="151">
        <v>623.33019244713819</v>
      </c>
      <c r="JW78" s="151">
        <v>0</v>
      </c>
      <c r="JX78" s="151">
        <v>1.9388186390268682</v>
      </c>
      <c r="JY78" s="7">
        <v>901</v>
      </c>
      <c r="JZ78" s="7">
        <v>3770</v>
      </c>
      <c r="KA78" s="7">
        <v>0</v>
      </c>
      <c r="KB78" s="7">
        <v>0</v>
      </c>
      <c r="KC78" s="7">
        <v>0</v>
      </c>
      <c r="KD78" s="7">
        <v>0</v>
      </c>
      <c r="KE78" s="7">
        <v>0</v>
      </c>
      <c r="KF78" s="7">
        <v>0</v>
      </c>
      <c r="KG78" s="7">
        <v>22</v>
      </c>
      <c r="KH78" s="7">
        <v>139</v>
      </c>
      <c r="KI78" s="7">
        <v>3460</v>
      </c>
      <c r="KJ78" s="7">
        <v>193</v>
      </c>
      <c r="KK78" s="7">
        <v>0</v>
      </c>
      <c r="KL78" s="7">
        <v>1145</v>
      </c>
      <c r="KM78" s="7">
        <v>2572</v>
      </c>
      <c r="KN78" s="7">
        <v>0</v>
      </c>
      <c r="KO78" s="7">
        <v>8</v>
      </c>
      <c r="KP78" s="7">
        <v>3725</v>
      </c>
      <c r="KQ78" s="7">
        <v>67</v>
      </c>
      <c r="KR78" s="7">
        <v>614</v>
      </c>
      <c r="KS78" s="7">
        <v>614</v>
      </c>
      <c r="KT78" s="7">
        <v>169</v>
      </c>
      <c r="KU78" s="7">
        <v>37</v>
      </c>
      <c r="KV78" s="7">
        <v>94</v>
      </c>
      <c r="KW78" s="7">
        <v>0</v>
      </c>
      <c r="KX78" s="7">
        <v>131</v>
      </c>
      <c r="KY78" s="7">
        <v>56</v>
      </c>
      <c r="KZ78" s="7">
        <v>134</v>
      </c>
      <c r="LA78" s="7">
        <v>0</v>
      </c>
      <c r="LB78" s="7">
        <v>310</v>
      </c>
      <c r="LC78" s="7">
        <v>325</v>
      </c>
      <c r="LD78" s="7">
        <v>85</v>
      </c>
      <c r="LE78" s="7">
        <v>179</v>
      </c>
      <c r="LF78" s="7">
        <v>2470</v>
      </c>
      <c r="LG78" s="7">
        <v>8</v>
      </c>
      <c r="LH78" s="7">
        <v>505</v>
      </c>
      <c r="LI78" s="7">
        <v>71</v>
      </c>
      <c r="LJ78" s="7">
        <v>312</v>
      </c>
      <c r="LK78" s="7">
        <v>0</v>
      </c>
      <c r="LL78" s="7">
        <v>189</v>
      </c>
      <c r="LM78" s="7">
        <v>66</v>
      </c>
      <c r="LN78" s="7">
        <v>18</v>
      </c>
      <c r="LO78" s="7">
        <v>589</v>
      </c>
      <c r="LP78" s="7">
        <v>86</v>
      </c>
      <c r="LQ78" s="7">
        <v>256</v>
      </c>
      <c r="LR78" s="7">
        <v>1</v>
      </c>
      <c r="LS78" s="7">
        <v>129</v>
      </c>
      <c r="LT78" s="7">
        <v>25</v>
      </c>
      <c r="LU78" s="232">
        <v>6.5357142857000001</v>
      </c>
      <c r="LV78" s="232">
        <v>7.1633825943999998</v>
      </c>
      <c r="LW78" s="232">
        <v>5.9221508827999996</v>
      </c>
      <c r="LX78" s="7">
        <v>919</v>
      </c>
      <c r="LY78" s="7">
        <v>3792</v>
      </c>
    </row>
    <row r="79" spans="1:337" x14ac:dyDescent="0.25">
      <c r="A79" t="s">
        <v>164</v>
      </c>
      <c r="B79" t="s">
        <v>165</v>
      </c>
      <c r="C79" s="7">
        <v>37887</v>
      </c>
      <c r="D79">
        <v>43350</v>
      </c>
      <c r="F79">
        <f t="shared" si="4"/>
        <v>-43350</v>
      </c>
      <c r="G79">
        <f t="shared" si="5"/>
        <v>-100</v>
      </c>
      <c r="H79">
        <v>21844</v>
      </c>
      <c r="I79">
        <v>21506</v>
      </c>
      <c r="J79">
        <v>10397</v>
      </c>
      <c r="K79">
        <v>32953</v>
      </c>
      <c r="L79" s="7">
        <v>3091</v>
      </c>
      <c r="M79" s="7">
        <v>3251</v>
      </c>
      <c r="N79" s="7">
        <v>3166</v>
      </c>
      <c r="O79" s="7">
        <v>2619</v>
      </c>
      <c r="P79" s="7">
        <v>1848</v>
      </c>
      <c r="Q79" s="7">
        <v>1510</v>
      </c>
      <c r="R79" s="7">
        <v>1196</v>
      </c>
      <c r="S79" s="7">
        <v>1045</v>
      </c>
      <c r="T79" s="7">
        <v>868</v>
      </c>
      <c r="U79" s="7">
        <v>787</v>
      </c>
      <c r="V79" s="7">
        <v>634</v>
      </c>
      <c r="W79" s="7">
        <v>487</v>
      </c>
      <c r="X79" s="7">
        <v>347</v>
      </c>
      <c r="Y79" s="7">
        <v>948</v>
      </c>
      <c r="Z79" s="7">
        <v>47</v>
      </c>
      <c r="AA79" s="7">
        <v>3139</v>
      </c>
      <c r="AB79" s="7">
        <v>3353</v>
      </c>
      <c r="AC79" s="7">
        <v>3042</v>
      </c>
      <c r="AD79" s="7">
        <v>2505</v>
      </c>
      <c r="AE79" s="7">
        <v>1831</v>
      </c>
      <c r="AF79" s="7">
        <v>1458</v>
      </c>
      <c r="AG79" s="7">
        <v>1216</v>
      </c>
      <c r="AH79" s="7">
        <v>1076</v>
      </c>
      <c r="AI79" s="7">
        <v>761</v>
      </c>
      <c r="AJ79" s="7">
        <v>772</v>
      </c>
      <c r="AK79" s="7">
        <v>622</v>
      </c>
      <c r="AL79" s="7">
        <v>498</v>
      </c>
      <c r="AM79" s="7">
        <v>346</v>
      </c>
      <c r="AN79" s="7">
        <v>843</v>
      </c>
      <c r="AO79" s="7">
        <v>44</v>
      </c>
      <c r="AP79">
        <v>43079</v>
      </c>
      <c r="AQ79">
        <v>5</v>
      </c>
      <c r="AR79">
        <v>11</v>
      </c>
      <c r="AS79">
        <v>1</v>
      </c>
      <c r="AT79">
        <v>254</v>
      </c>
      <c r="AU79" s="7">
        <v>38804</v>
      </c>
      <c r="AV79" s="7">
        <v>19603</v>
      </c>
      <c r="AW79" s="7">
        <v>19201</v>
      </c>
      <c r="AX79" s="7">
        <v>30595</v>
      </c>
      <c r="AY79" s="7">
        <v>38804</v>
      </c>
      <c r="AZ79" s="7">
        <v>29707</v>
      </c>
      <c r="BA79" s="7">
        <v>9097</v>
      </c>
      <c r="BB79" s="7">
        <v>1248</v>
      </c>
      <c r="BC79" s="7">
        <v>1255</v>
      </c>
      <c r="BD79" s="7">
        <v>3158</v>
      </c>
      <c r="BE79" s="7">
        <v>3265</v>
      </c>
      <c r="BF79" s="7">
        <v>3108</v>
      </c>
      <c r="BG79" s="7">
        <v>2972</v>
      </c>
      <c r="BH79" s="7">
        <v>2567</v>
      </c>
      <c r="BI79" s="7">
        <v>2449</v>
      </c>
      <c r="BJ79" s="7">
        <v>1809</v>
      </c>
      <c r="BK79" s="7">
        <v>1794</v>
      </c>
      <c r="BL79" s="7">
        <v>1488</v>
      </c>
      <c r="BM79" s="7">
        <v>1432</v>
      </c>
      <c r="BN79" s="7">
        <v>1172</v>
      </c>
      <c r="BO79" s="7">
        <v>1187</v>
      </c>
      <c r="BP79" s="7">
        <v>1027</v>
      </c>
      <c r="BQ79" s="7">
        <v>1058</v>
      </c>
      <c r="BR79" s="7">
        <v>857</v>
      </c>
      <c r="BS79" s="7">
        <v>745</v>
      </c>
      <c r="BT79" s="7">
        <v>780</v>
      </c>
      <c r="BU79" s="7">
        <v>763</v>
      </c>
      <c r="BV79" s="7">
        <v>626</v>
      </c>
      <c r="BW79" s="7">
        <v>615</v>
      </c>
      <c r="BX79" s="7">
        <v>482</v>
      </c>
      <c r="BY79" s="7">
        <v>495</v>
      </c>
      <c r="BZ79" s="7">
        <v>343</v>
      </c>
      <c r="CA79" s="7">
        <v>341</v>
      </c>
      <c r="CB79" s="7">
        <v>938</v>
      </c>
      <c r="CC79" s="7">
        <v>830</v>
      </c>
      <c r="CD79" s="7">
        <v>11938</v>
      </c>
      <c r="CE79" s="7">
        <v>9132</v>
      </c>
      <c r="CF79" s="7">
        <v>7554</v>
      </c>
      <c r="CG79" s="7">
        <v>9961</v>
      </c>
      <c r="CH79" s="7">
        <v>7421</v>
      </c>
      <c r="CI79" s="7">
        <v>819</v>
      </c>
      <c r="CJ79" s="7">
        <v>40177</v>
      </c>
      <c r="CK79" s="7">
        <v>3095</v>
      </c>
      <c r="CL79" s="7">
        <v>266</v>
      </c>
      <c r="CM79" s="7">
        <v>912</v>
      </c>
      <c r="CN79" s="7">
        <v>1049</v>
      </c>
      <c r="CO79" s="7">
        <v>1173</v>
      </c>
      <c r="CP79" s="7">
        <v>1192</v>
      </c>
      <c r="CQ79" s="7">
        <v>3648</v>
      </c>
      <c r="CR79" s="7">
        <v>7001</v>
      </c>
      <c r="CS79" s="7">
        <v>25184</v>
      </c>
      <c r="CT79" s="7">
        <v>1347</v>
      </c>
      <c r="CU79" s="7">
        <v>457</v>
      </c>
      <c r="CV79" s="7">
        <v>307</v>
      </c>
      <c r="CW79" s="7">
        <v>545</v>
      </c>
      <c r="CX79" s="7">
        <v>10</v>
      </c>
      <c r="CY79" s="7">
        <v>33580</v>
      </c>
      <c r="CZ79" s="7">
        <v>8519</v>
      </c>
      <c r="DA79" s="7">
        <v>62</v>
      </c>
      <c r="DB79" s="7">
        <v>266</v>
      </c>
      <c r="DC79" s="7">
        <v>4</v>
      </c>
      <c r="DD79" s="7">
        <v>10679</v>
      </c>
      <c r="DE79" s="7">
        <v>8579</v>
      </c>
      <c r="DF79" s="7">
        <v>13695</v>
      </c>
      <c r="DG79" s="7">
        <v>3722</v>
      </c>
      <c r="DH79" s="7">
        <v>6675</v>
      </c>
      <c r="DI79" s="7">
        <v>0</v>
      </c>
      <c r="DJ79" s="7">
        <v>0</v>
      </c>
      <c r="DK79" s="7">
        <v>0</v>
      </c>
      <c r="DL79" s="7">
        <v>105</v>
      </c>
      <c r="DM79" s="7">
        <v>24</v>
      </c>
      <c r="DN79" s="7">
        <v>16</v>
      </c>
      <c r="DO79" s="7">
        <v>1</v>
      </c>
      <c r="DP79" s="7">
        <v>1</v>
      </c>
      <c r="DQ79" s="7">
        <v>0</v>
      </c>
      <c r="DR79" s="7">
        <v>0</v>
      </c>
      <c r="DS79" s="7">
        <v>0</v>
      </c>
      <c r="DT79" s="7">
        <v>124</v>
      </c>
      <c r="DU79" s="7">
        <v>114</v>
      </c>
      <c r="DV79" s="7">
        <v>81</v>
      </c>
      <c r="DW79" s="7">
        <v>73</v>
      </c>
      <c r="DX79" s="7">
        <v>38</v>
      </c>
      <c r="DY79" s="7">
        <v>30</v>
      </c>
      <c r="DZ79" s="7">
        <v>55</v>
      </c>
      <c r="EA79" s="7">
        <v>39</v>
      </c>
      <c r="EB79" s="7">
        <v>11</v>
      </c>
      <c r="EC79" s="7">
        <v>8</v>
      </c>
      <c r="ED79" s="7">
        <v>7</v>
      </c>
      <c r="EE79" s="7">
        <v>8</v>
      </c>
      <c r="EF79" s="7">
        <v>64</v>
      </c>
      <c r="EG79" s="7">
        <v>49</v>
      </c>
      <c r="EH79" s="7">
        <v>149</v>
      </c>
      <c r="EI79" s="7">
        <v>91</v>
      </c>
      <c r="EJ79" s="7">
        <v>38</v>
      </c>
      <c r="EK79" s="7">
        <v>48</v>
      </c>
      <c r="EL79" s="7">
        <v>14</v>
      </c>
      <c r="EM79" s="7">
        <v>12</v>
      </c>
      <c r="EN79" s="7">
        <v>62</v>
      </c>
      <c r="EO79" s="7">
        <v>10366</v>
      </c>
      <c r="EP79" s="7">
        <v>10297</v>
      </c>
      <c r="EQ79" s="7">
        <v>69</v>
      </c>
      <c r="ER79" s="7">
        <v>3688</v>
      </c>
      <c r="ES79" s="7">
        <v>1239</v>
      </c>
      <c r="ET79" s="7">
        <v>1218</v>
      </c>
      <c r="EU79" s="7">
        <v>21</v>
      </c>
      <c r="EV79" s="7">
        <v>12355</v>
      </c>
      <c r="EW79" s="134">
        <v>90.199578127999999</v>
      </c>
      <c r="EX79" s="134">
        <v>1.7442803829</v>
      </c>
      <c r="EY79" s="134">
        <v>0.86808372550000001</v>
      </c>
      <c r="EZ79" s="134">
        <v>6.9284439396000002</v>
      </c>
      <c r="FA79" s="134">
        <v>0.25961382440000003</v>
      </c>
      <c r="FB79" s="7">
        <v>1208</v>
      </c>
      <c r="FC79" s="7">
        <v>6016</v>
      </c>
      <c r="FD79" s="7">
        <v>368</v>
      </c>
      <c r="FE79" s="7">
        <v>2569</v>
      </c>
      <c r="FF79" s="7">
        <v>1</v>
      </c>
      <c r="FG79" s="7">
        <v>1120</v>
      </c>
      <c r="FH79" s="7">
        <v>297</v>
      </c>
      <c r="FI79" s="134">
        <v>91.294823949000005</v>
      </c>
      <c r="FJ79" s="134">
        <v>2.1986045757000001</v>
      </c>
      <c r="FK79" s="134">
        <v>4.3485315592999996</v>
      </c>
      <c r="FL79" s="134">
        <v>2.1580399155999999</v>
      </c>
      <c r="FM79" s="151">
        <v>11355</v>
      </c>
      <c r="FN79" s="151">
        <v>10342</v>
      </c>
      <c r="FO79" s="7">
        <v>2271</v>
      </c>
      <c r="FP79" s="7">
        <v>270</v>
      </c>
      <c r="FQ79" s="7">
        <v>27</v>
      </c>
      <c r="FR79" s="7">
        <v>5</v>
      </c>
      <c r="FS79" s="7">
        <v>8888</v>
      </c>
      <c r="FT79" s="7">
        <v>21</v>
      </c>
      <c r="FU79" s="7">
        <v>74</v>
      </c>
      <c r="FV79" s="7">
        <v>147</v>
      </c>
      <c r="FW79" s="7">
        <v>11619</v>
      </c>
      <c r="FX79" s="7">
        <v>9728</v>
      </c>
      <c r="FY79" s="7">
        <v>2260</v>
      </c>
      <c r="FZ79" s="7">
        <v>262</v>
      </c>
      <c r="GA79" s="7">
        <v>22</v>
      </c>
      <c r="GB79" s="7">
        <v>1</v>
      </c>
      <c r="GC79" s="7">
        <v>9159</v>
      </c>
      <c r="GD79" s="7">
        <v>18</v>
      </c>
      <c r="GE79" s="7">
        <v>67</v>
      </c>
      <c r="GF79" s="7">
        <v>159</v>
      </c>
      <c r="GG79" s="7">
        <v>1466</v>
      </c>
      <c r="GH79" s="7">
        <v>1830</v>
      </c>
      <c r="GI79" s="7">
        <v>1767</v>
      </c>
      <c r="GJ79" s="7">
        <v>1362</v>
      </c>
      <c r="GK79" s="7">
        <v>735</v>
      </c>
      <c r="GL79" s="7">
        <v>724</v>
      </c>
      <c r="GM79" s="7">
        <v>620</v>
      </c>
      <c r="GN79" s="7">
        <v>576</v>
      </c>
      <c r="GO79" s="7">
        <v>493</v>
      </c>
      <c r="GP79" s="7">
        <v>428</v>
      </c>
      <c r="GQ79" s="7">
        <v>358</v>
      </c>
      <c r="GR79" s="7">
        <v>266</v>
      </c>
      <c r="GS79" s="7">
        <v>191</v>
      </c>
      <c r="GT79" s="7">
        <v>158</v>
      </c>
      <c r="GU79" s="7">
        <v>208</v>
      </c>
      <c r="GV79" s="7">
        <v>71</v>
      </c>
      <c r="GW79" s="7">
        <v>38</v>
      </c>
      <c r="GX79" s="7">
        <v>61</v>
      </c>
      <c r="GY79" s="7">
        <v>1494</v>
      </c>
      <c r="GZ79" s="7">
        <v>1915</v>
      </c>
      <c r="HA79" s="7">
        <v>1701</v>
      </c>
      <c r="HB79" s="7">
        <v>1257</v>
      </c>
      <c r="HC79" s="7">
        <v>850</v>
      </c>
      <c r="HD79" s="7">
        <v>810</v>
      </c>
      <c r="HE79" s="7">
        <v>691</v>
      </c>
      <c r="HF79" s="7">
        <v>643</v>
      </c>
      <c r="HG79" s="7">
        <v>456</v>
      </c>
      <c r="HH79" s="7">
        <v>460</v>
      </c>
      <c r="HI79" s="7">
        <v>376</v>
      </c>
      <c r="HJ79" s="7">
        <v>296</v>
      </c>
      <c r="HK79" s="7">
        <v>191</v>
      </c>
      <c r="HL79" s="7">
        <v>187</v>
      </c>
      <c r="HM79" s="7">
        <v>135</v>
      </c>
      <c r="HN79" s="7">
        <v>64</v>
      </c>
      <c r="HO79" s="7">
        <v>40</v>
      </c>
      <c r="HP79" s="7">
        <v>51</v>
      </c>
      <c r="HQ79" s="7">
        <v>8202</v>
      </c>
      <c r="HR79" s="7">
        <v>1</v>
      </c>
      <c r="HS79" s="7">
        <v>4</v>
      </c>
      <c r="HT79" s="7">
        <v>1</v>
      </c>
      <c r="HU79" s="7">
        <v>0</v>
      </c>
      <c r="HV79" s="7">
        <v>0</v>
      </c>
      <c r="HW79" s="7">
        <v>0</v>
      </c>
      <c r="HX79" s="7">
        <v>58</v>
      </c>
      <c r="HY79" s="7">
        <v>266</v>
      </c>
      <c r="HZ79" s="7">
        <v>912</v>
      </c>
      <c r="IA79" s="7">
        <v>1049</v>
      </c>
      <c r="IB79" s="7">
        <v>1173</v>
      </c>
      <c r="IC79" s="7">
        <v>1192</v>
      </c>
      <c r="ID79" s="7">
        <v>1498</v>
      </c>
      <c r="IE79" s="7">
        <v>658</v>
      </c>
      <c r="IF79" s="7">
        <v>576</v>
      </c>
      <c r="IG79" s="7">
        <v>916</v>
      </c>
      <c r="IH79" s="7">
        <v>149</v>
      </c>
      <c r="II79" s="7">
        <v>4688</v>
      </c>
      <c r="IJ79" s="7">
        <v>2150</v>
      </c>
      <c r="IK79" s="7">
        <v>722</v>
      </c>
      <c r="IL79" s="7">
        <v>280</v>
      </c>
      <c r="IM79" s="7">
        <v>90</v>
      </c>
      <c r="IN79" s="7">
        <v>41</v>
      </c>
      <c r="IO79" s="7">
        <v>11</v>
      </c>
      <c r="IP79" s="7">
        <v>13</v>
      </c>
      <c r="IQ79" s="7">
        <v>4854</v>
      </c>
      <c r="IR79" s="7">
        <v>2139</v>
      </c>
      <c r="IS79" s="7">
        <v>733</v>
      </c>
      <c r="IT79" s="7">
        <v>287</v>
      </c>
      <c r="IU79" s="7">
        <v>141</v>
      </c>
      <c r="IV79" s="7">
        <v>722</v>
      </c>
      <c r="IW79" s="7">
        <v>1591</v>
      </c>
      <c r="IX79" s="7">
        <v>147</v>
      </c>
      <c r="IY79" s="7">
        <v>60</v>
      </c>
      <c r="IZ79" s="7">
        <v>10</v>
      </c>
      <c r="JA79" s="7">
        <v>5621</v>
      </c>
      <c r="JB79" s="7">
        <v>858</v>
      </c>
      <c r="JC79" s="7">
        <v>1685</v>
      </c>
      <c r="JD79" s="7">
        <v>77</v>
      </c>
      <c r="JE79" s="7">
        <v>15</v>
      </c>
      <c r="JF79" s="151">
        <v>8027.2975723304162</v>
      </c>
      <c r="JG79" s="151">
        <v>143.0079581738855</v>
      </c>
      <c r="JH79" s="7">
        <v>2593</v>
      </c>
      <c r="JI79" s="7">
        <v>5555</v>
      </c>
      <c r="JJ79" s="7">
        <v>28</v>
      </c>
      <c r="JK79" s="7">
        <v>64</v>
      </c>
      <c r="JL79" s="7">
        <v>309</v>
      </c>
      <c r="JM79" s="7">
        <v>115</v>
      </c>
      <c r="JN79" s="7">
        <v>166</v>
      </c>
      <c r="JO79" s="7">
        <v>3794</v>
      </c>
      <c r="JP79" s="7">
        <v>2223</v>
      </c>
      <c r="JQ79" s="7">
        <v>98</v>
      </c>
      <c r="JR79" s="7">
        <v>65</v>
      </c>
      <c r="JS79" s="7">
        <v>430</v>
      </c>
      <c r="JT79" s="7">
        <v>24</v>
      </c>
      <c r="JU79" s="151">
        <v>35.990018768128301</v>
      </c>
      <c r="JV79" s="151">
        <v>1023.5256660248129</v>
      </c>
      <c r="JW79" s="151">
        <v>6931.0301752504447</v>
      </c>
      <c r="JX79" s="151">
        <v>36.751712287030493</v>
      </c>
      <c r="JY79" s="7">
        <v>6889</v>
      </c>
      <c r="JZ79" s="7">
        <v>43087</v>
      </c>
      <c r="KA79" s="7">
        <v>6</v>
      </c>
      <c r="KB79" s="7">
        <v>13</v>
      </c>
      <c r="KC79" s="7">
        <v>6</v>
      </c>
      <c r="KD79" s="7">
        <v>0</v>
      </c>
      <c r="KE79" s="7">
        <v>0</v>
      </c>
      <c r="KF79" s="7">
        <v>0</v>
      </c>
      <c r="KG79" s="7">
        <v>238</v>
      </c>
      <c r="KH79" s="7">
        <v>12862</v>
      </c>
      <c r="KI79" s="7">
        <v>29906</v>
      </c>
      <c r="KJ79" s="7">
        <v>145</v>
      </c>
      <c r="KK79" s="7">
        <v>359</v>
      </c>
      <c r="KL79" s="7">
        <v>189</v>
      </c>
      <c r="KM79" s="7">
        <v>5375</v>
      </c>
      <c r="KN79" s="7">
        <v>36398</v>
      </c>
      <c r="KO79" s="7">
        <v>193</v>
      </c>
      <c r="KP79" s="7">
        <v>42155</v>
      </c>
      <c r="KQ79" s="7">
        <v>751</v>
      </c>
      <c r="KR79" s="7">
        <v>7937</v>
      </c>
      <c r="KS79" s="7">
        <v>7937</v>
      </c>
      <c r="KT79" s="7">
        <v>1589</v>
      </c>
      <c r="KU79" s="7">
        <v>539</v>
      </c>
      <c r="KV79" s="7">
        <v>1397</v>
      </c>
      <c r="KW79" s="7">
        <v>1</v>
      </c>
      <c r="KX79" s="7">
        <v>1534</v>
      </c>
      <c r="KY79" s="7">
        <v>531</v>
      </c>
      <c r="KZ79" s="7">
        <v>1198</v>
      </c>
      <c r="LA79" s="7">
        <v>0</v>
      </c>
      <c r="LB79" s="7">
        <v>3779</v>
      </c>
      <c r="LC79" s="7">
        <v>3750</v>
      </c>
      <c r="LD79" s="7">
        <v>1747</v>
      </c>
      <c r="LE79" s="7">
        <v>3453</v>
      </c>
      <c r="LF79" s="7">
        <v>24217</v>
      </c>
      <c r="LG79" s="7">
        <v>33</v>
      </c>
      <c r="LH79" s="7">
        <v>5670</v>
      </c>
      <c r="LI79" s="7">
        <v>894</v>
      </c>
      <c r="LJ79" s="7">
        <v>2597</v>
      </c>
      <c r="LK79" s="7">
        <v>2</v>
      </c>
      <c r="LL79" s="7">
        <v>1567</v>
      </c>
      <c r="LM79" s="7">
        <v>313</v>
      </c>
      <c r="LN79" s="7">
        <v>30</v>
      </c>
      <c r="LO79" s="7">
        <v>5416</v>
      </c>
      <c r="LP79" s="7">
        <v>809</v>
      </c>
      <c r="LQ79" s="7">
        <v>1791</v>
      </c>
      <c r="LR79" s="7">
        <v>0</v>
      </c>
      <c r="LS79" s="7">
        <v>1122</v>
      </c>
      <c r="LT79" s="7">
        <v>184</v>
      </c>
      <c r="LU79" s="232">
        <v>5.9127115831000001</v>
      </c>
      <c r="LV79" s="232">
        <v>6.5219950940000002</v>
      </c>
      <c r="LW79" s="232">
        <v>5.2851608557</v>
      </c>
      <c r="LX79" s="7">
        <v>8240</v>
      </c>
      <c r="LY79" s="7">
        <v>43272</v>
      </c>
    </row>
    <row r="80" spans="1:337" x14ac:dyDescent="0.25">
      <c r="A80" t="s">
        <v>166</v>
      </c>
      <c r="B80" t="s">
        <v>167</v>
      </c>
      <c r="C80" s="7">
        <v>85464</v>
      </c>
      <c r="D80">
        <v>110918</v>
      </c>
      <c r="F80">
        <f t="shared" si="4"/>
        <v>-110918</v>
      </c>
      <c r="G80">
        <f t="shared" si="5"/>
        <v>-100</v>
      </c>
      <c r="H80">
        <v>54786</v>
      </c>
      <c r="I80">
        <v>56132</v>
      </c>
      <c r="J80">
        <v>42947</v>
      </c>
      <c r="K80">
        <v>67971</v>
      </c>
      <c r="L80" s="7">
        <v>6458</v>
      </c>
      <c r="M80" s="7">
        <v>6747</v>
      </c>
      <c r="N80" s="7">
        <v>6801</v>
      </c>
      <c r="O80" s="7">
        <v>6500</v>
      </c>
      <c r="P80" s="7">
        <v>4595</v>
      </c>
      <c r="Q80" s="7">
        <v>3723</v>
      </c>
      <c r="R80" s="7">
        <v>3673</v>
      </c>
      <c r="S80" s="7">
        <v>3504</v>
      </c>
      <c r="T80" s="7">
        <v>2943</v>
      </c>
      <c r="U80" s="7">
        <v>2395</v>
      </c>
      <c r="V80" s="7">
        <v>1894</v>
      </c>
      <c r="W80" s="7">
        <v>1381</v>
      </c>
      <c r="X80" s="7">
        <v>1249</v>
      </c>
      <c r="Y80" s="7">
        <v>2382</v>
      </c>
      <c r="Z80" s="7">
        <v>541</v>
      </c>
      <c r="AA80" s="7">
        <v>6146</v>
      </c>
      <c r="AB80" s="7">
        <v>6505</v>
      </c>
      <c r="AC80" s="7">
        <v>6703</v>
      </c>
      <c r="AD80" s="7">
        <v>6529</v>
      </c>
      <c r="AE80" s="7">
        <v>5330</v>
      </c>
      <c r="AF80" s="7">
        <v>4524</v>
      </c>
      <c r="AG80" s="7">
        <v>4403</v>
      </c>
      <c r="AH80" s="7">
        <v>3868</v>
      </c>
      <c r="AI80" s="7">
        <v>2853</v>
      </c>
      <c r="AJ80" s="7">
        <v>2415</v>
      </c>
      <c r="AK80" s="7">
        <v>1858</v>
      </c>
      <c r="AL80" s="7">
        <v>1351</v>
      </c>
      <c r="AM80" s="7">
        <v>1139</v>
      </c>
      <c r="AN80" s="7">
        <v>1965</v>
      </c>
      <c r="AO80" s="7">
        <v>543</v>
      </c>
      <c r="AP80">
        <v>100933</v>
      </c>
      <c r="AQ80">
        <v>8413</v>
      </c>
      <c r="AR80">
        <v>61</v>
      </c>
      <c r="AS80">
        <v>114</v>
      </c>
      <c r="AT80">
        <v>1397</v>
      </c>
      <c r="AU80" s="7">
        <v>45412</v>
      </c>
      <c r="AV80" s="7">
        <v>22522</v>
      </c>
      <c r="AW80" s="7">
        <v>22890</v>
      </c>
      <c r="AX80" s="7">
        <v>28712</v>
      </c>
      <c r="AY80" s="7">
        <v>45412</v>
      </c>
      <c r="AZ80" s="7">
        <v>37696</v>
      </c>
      <c r="BA80" s="7">
        <v>7716</v>
      </c>
      <c r="BB80" s="7">
        <v>1052</v>
      </c>
      <c r="BC80" s="7">
        <v>1035</v>
      </c>
      <c r="BD80" s="7">
        <v>3010</v>
      </c>
      <c r="BE80" s="7">
        <v>2933</v>
      </c>
      <c r="BF80" s="7">
        <v>3286</v>
      </c>
      <c r="BG80" s="7">
        <v>3134</v>
      </c>
      <c r="BH80" s="7">
        <v>2940</v>
      </c>
      <c r="BI80" s="7">
        <v>2998</v>
      </c>
      <c r="BJ80" s="7">
        <v>2027</v>
      </c>
      <c r="BK80" s="7">
        <v>2387</v>
      </c>
      <c r="BL80" s="7">
        <v>1601</v>
      </c>
      <c r="BM80" s="7">
        <v>1948</v>
      </c>
      <c r="BN80" s="7">
        <v>1613</v>
      </c>
      <c r="BO80" s="7">
        <v>1849</v>
      </c>
      <c r="BP80" s="7">
        <v>1561</v>
      </c>
      <c r="BQ80" s="7">
        <v>1696</v>
      </c>
      <c r="BR80" s="7">
        <v>1303</v>
      </c>
      <c r="BS80" s="7">
        <v>1204</v>
      </c>
      <c r="BT80" s="7">
        <v>1029</v>
      </c>
      <c r="BU80" s="7">
        <v>1056</v>
      </c>
      <c r="BV80" s="7">
        <v>811</v>
      </c>
      <c r="BW80" s="7">
        <v>760</v>
      </c>
      <c r="BX80" s="7">
        <v>620</v>
      </c>
      <c r="BY80" s="7">
        <v>567</v>
      </c>
      <c r="BZ80" s="7">
        <v>583</v>
      </c>
      <c r="CA80" s="7">
        <v>511</v>
      </c>
      <c r="CB80" s="7">
        <v>1086</v>
      </c>
      <c r="CC80" s="7">
        <v>812</v>
      </c>
      <c r="CD80" s="7">
        <v>19499</v>
      </c>
      <c r="CE80" s="7">
        <v>17954</v>
      </c>
      <c r="CF80" s="7">
        <v>2760</v>
      </c>
      <c r="CG80" s="7">
        <v>4659</v>
      </c>
      <c r="CH80" s="7">
        <v>20358</v>
      </c>
      <c r="CI80" s="7">
        <v>4905</v>
      </c>
      <c r="CJ80" s="7">
        <v>92689</v>
      </c>
      <c r="CK80" s="7">
        <v>17167</v>
      </c>
      <c r="CL80" s="7">
        <v>1650</v>
      </c>
      <c r="CM80" s="7">
        <v>3483</v>
      </c>
      <c r="CN80" s="7">
        <v>4550</v>
      </c>
      <c r="CO80" s="7">
        <v>5271</v>
      </c>
      <c r="CP80" s="7">
        <v>4028</v>
      </c>
      <c r="CQ80" s="7">
        <v>6281</v>
      </c>
      <c r="CR80" s="7">
        <v>19253</v>
      </c>
      <c r="CS80" s="7">
        <v>53441</v>
      </c>
      <c r="CT80" s="7">
        <v>4909</v>
      </c>
      <c r="CU80" s="7">
        <v>1567</v>
      </c>
      <c r="CV80" s="7">
        <v>901</v>
      </c>
      <c r="CW80" s="7">
        <v>3420</v>
      </c>
      <c r="CX80" s="7">
        <v>659</v>
      </c>
      <c r="CY80" s="7">
        <v>73817</v>
      </c>
      <c r="CZ80" s="7">
        <v>30032</v>
      </c>
      <c r="DA80" s="7">
        <v>1663</v>
      </c>
      <c r="DB80" s="7">
        <v>1650</v>
      </c>
      <c r="DC80" s="7">
        <v>350</v>
      </c>
      <c r="DD80" s="7">
        <v>20560</v>
      </c>
      <c r="DE80" s="7">
        <v>20050</v>
      </c>
      <c r="DF80" s="7">
        <v>27361</v>
      </c>
      <c r="DG80" s="7">
        <v>0</v>
      </c>
      <c r="DH80" s="7">
        <v>0</v>
      </c>
      <c r="DI80" s="7">
        <v>42947</v>
      </c>
      <c r="DJ80" s="7">
        <v>0</v>
      </c>
      <c r="DK80" s="7">
        <v>0</v>
      </c>
      <c r="DL80" s="7">
        <v>603</v>
      </c>
      <c r="DM80" s="7">
        <v>57</v>
      </c>
      <c r="DN80" s="7">
        <v>33</v>
      </c>
      <c r="DO80" s="7">
        <v>0</v>
      </c>
      <c r="DP80" s="7">
        <v>0</v>
      </c>
      <c r="DQ80" s="7">
        <v>1</v>
      </c>
      <c r="DR80" s="7">
        <v>0</v>
      </c>
      <c r="DS80" s="7">
        <v>0</v>
      </c>
      <c r="DT80" s="7">
        <v>598</v>
      </c>
      <c r="DU80" s="7">
        <v>559</v>
      </c>
      <c r="DV80" s="7">
        <v>349</v>
      </c>
      <c r="DW80" s="7">
        <v>282</v>
      </c>
      <c r="DX80" s="7">
        <v>95</v>
      </c>
      <c r="DY80" s="7">
        <v>49</v>
      </c>
      <c r="DZ80" s="7">
        <v>250</v>
      </c>
      <c r="EA80" s="7">
        <v>231</v>
      </c>
      <c r="EB80" s="7">
        <v>134</v>
      </c>
      <c r="EC80" s="7">
        <v>138</v>
      </c>
      <c r="ED80" s="7">
        <v>31</v>
      </c>
      <c r="EE80" s="7">
        <v>27</v>
      </c>
      <c r="EF80" s="7">
        <v>162</v>
      </c>
      <c r="EG80" s="7">
        <v>130</v>
      </c>
      <c r="EH80" s="7">
        <v>585</v>
      </c>
      <c r="EI80" s="7">
        <v>338</v>
      </c>
      <c r="EJ80" s="7">
        <v>63</v>
      </c>
      <c r="EK80" s="7">
        <v>185</v>
      </c>
      <c r="EL80" s="7">
        <v>127</v>
      </c>
      <c r="EM80" s="7">
        <v>31</v>
      </c>
      <c r="EN80" s="7">
        <v>124</v>
      </c>
      <c r="EO80" s="7">
        <v>28960</v>
      </c>
      <c r="EP80" s="7">
        <v>28465</v>
      </c>
      <c r="EQ80" s="7">
        <v>495</v>
      </c>
      <c r="ER80" s="7">
        <v>9124</v>
      </c>
      <c r="ES80" s="7">
        <v>7186</v>
      </c>
      <c r="ET80" s="7">
        <v>7068</v>
      </c>
      <c r="EU80" s="7">
        <v>118</v>
      </c>
      <c r="EV80" s="7">
        <v>32824</v>
      </c>
      <c r="EW80" s="134">
        <v>50.086715226999999</v>
      </c>
      <c r="EX80" s="134">
        <v>10.842293907</v>
      </c>
      <c r="EY80" s="134">
        <v>11.313446641000001</v>
      </c>
      <c r="EZ80" s="134">
        <v>27.517632096</v>
      </c>
      <c r="FA80" s="134">
        <v>0.2399121286</v>
      </c>
      <c r="FB80" s="7">
        <v>5248</v>
      </c>
      <c r="FC80" s="7">
        <v>13037</v>
      </c>
      <c r="FD80" s="7">
        <v>1579</v>
      </c>
      <c r="FE80" s="7">
        <v>6506</v>
      </c>
      <c r="FF80" s="7">
        <v>68</v>
      </c>
      <c r="FG80" s="7">
        <v>5804</v>
      </c>
      <c r="FH80" s="7">
        <v>3757</v>
      </c>
      <c r="FI80" s="134">
        <v>46.600763094000001</v>
      </c>
      <c r="FJ80" s="134">
        <v>28.032142444000002</v>
      </c>
      <c r="FK80" s="134">
        <v>20.224881489000001</v>
      </c>
      <c r="FL80" s="134">
        <v>5.1422129726000003</v>
      </c>
      <c r="FM80" s="151">
        <v>24957</v>
      </c>
      <c r="FN80" s="151">
        <v>29127</v>
      </c>
      <c r="FO80" s="7">
        <v>5204</v>
      </c>
      <c r="FP80" s="7">
        <v>1798</v>
      </c>
      <c r="FQ80" s="7">
        <v>225</v>
      </c>
      <c r="FR80" s="7">
        <v>56</v>
      </c>
      <c r="FS80" s="7">
        <v>17114</v>
      </c>
      <c r="FT80" s="7">
        <v>171</v>
      </c>
      <c r="FU80" s="7">
        <v>479</v>
      </c>
      <c r="FV80" s="7">
        <v>702</v>
      </c>
      <c r="FW80" s="7">
        <v>27152</v>
      </c>
      <c r="FX80" s="7">
        <v>28254</v>
      </c>
      <c r="FY80" s="7">
        <v>4830</v>
      </c>
      <c r="FZ80" s="7">
        <v>1988</v>
      </c>
      <c r="GA80" s="7">
        <v>251</v>
      </c>
      <c r="GB80" s="7">
        <v>53</v>
      </c>
      <c r="GC80" s="7">
        <v>19421</v>
      </c>
      <c r="GD80" s="7">
        <v>163</v>
      </c>
      <c r="GE80" s="7">
        <v>534</v>
      </c>
      <c r="GF80" s="7">
        <v>726</v>
      </c>
      <c r="GG80" s="7">
        <v>2963</v>
      </c>
      <c r="GH80" s="7">
        <v>3348</v>
      </c>
      <c r="GI80" s="7">
        <v>3475</v>
      </c>
      <c r="GJ80" s="7">
        <v>2754</v>
      </c>
      <c r="GK80" s="7">
        <v>1474</v>
      </c>
      <c r="GL80" s="7">
        <v>1509</v>
      </c>
      <c r="GM80" s="7">
        <v>1722</v>
      </c>
      <c r="GN80" s="7">
        <v>1763</v>
      </c>
      <c r="GO80" s="7">
        <v>1446</v>
      </c>
      <c r="GP80" s="7">
        <v>1197</v>
      </c>
      <c r="GQ80" s="7">
        <v>872</v>
      </c>
      <c r="GR80" s="7">
        <v>635</v>
      </c>
      <c r="GS80" s="7">
        <v>550</v>
      </c>
      <c r="GT80" s="7">
        <v>409</v>
      </c>
      <c r="GU80" s="7">
        <v>402</v>
      </c>
      <c r="GV80" s="7">
        <v>195</v>
      </c>
      <c r="GW80" s="7">
        <v>123</v>
      </c>
      <c r="GX80" s="7">
        <v>115</v>
      </c>
      <c r="GY80" s="7">
        <v>2835</v>
      </c>
      <c r="GZ80" s="7">
        <v>3120</v>
      </c>
      <c r="HA80" s="7">
        <v>3417</v>
      </c>
      <c r="HB80" s="7">
        <v>2862</v>
      </c>
      <c r="HC80" s="7">
        <v>2113</v>
      </c>
      <c r="HD80" s="7">
        <v>2193</v>
      </c>
      <c r="HE80" s="7">
        <v>2412</v>
      </c>
      <c r="HF80" s="7">
        <v>2032</v>
      </c>
      <c r="HG80" s="7">
        <v>1537</v>
      </c>
      <c r="HH80" s="7">
        <v>1271</v>
      </c>
      <c r="HI80" s="7">
        <v>976</v>
      </c>
      <c r="HJ80" s="7">
        <v>686</v>
      </c>
      <c r="HK80" s="7">
        <v>618</v>
      </c>
      <c r="HL80" s="7">
        <v>390</v>
      </c>
      <c r="HM80" s="7">
        <v>342</v>
      </c>
      <c r="HN80" s="7">
        <v>154</v>
      </c>
      <c r="HO80" s="7">
        <v>90</v>
      </c>
      <c r="HP80" s="7">
        <v>94</v>
      </c>
      <c r="HQ80" s="7">
        <v>24795</v>
      </c>
      <c r="HR80" s="7">
        <v>244</v>
      </c>
      <c r="HS80" s="7">
        <v>123</v>
      </c>
      <c r="HT80" s="7">
        <v>9</v>
      </c>
      <c r="HU80" s="7">
        <v>9</v>
      </c>
      <c r="HV80" s="7">
        <v>0</v>
      </c>
      <c r="HW80" s="7">
        <v>0</v>
      </c>
      <c r="HX80" s="7">
        <v>436</v>
      </c>
      <c r="HY80" s="7">
        <v>1646</v>
      </c>
      <c r="HZ80" s="7">
        <v>3481</v>
      </c>
      <c r="IA80" s="7">
        <v>4548</v>
      </c>
      <c r="IB80" s="7">
        <v>5271</v>
      </c>
      <c r="IC80" s="7">
        <v>4027</v>
      </c>
      <c r="ID80" s="7">
        <v>2611</v>
      </c>
      <c r="IE80" s="7">
        <v>1380</v>
      </c>
      <c r="IF80" s="7">
        <v>996</v>
      </c>
      <c r="IG80" s="7">
        <v>1294</v>
      </c>
      <c r="IH80" s="7">
        <v>4526</v>
      </c>
      <c r="II80" s="7">
        <v>8486</v>
      </c>
      <c r="IJ80" s="7">
        <v>6508</v>
      </c>
      <c r="IK80" s="7">
        <v>3720</v>
      </c>
      <c r="IL80" s="7">
        <v>1320</v>
      </c>
      <c r="IM80" s="7">
        <v>406</v>
      </c>
      <c r="IN80" s="7">
        <v>97</v>
      </c>
      <c r="IO80" s="7">
        <v>51</v>
      </c>
      <c r="IP80" s="7">
        <v>33</v>
      </c>
      <c r="IQ80" s="7">
        <v>14712</v>
      </c>
      <c r="IR80" s="7">
        <v>7924</v>
      </c>
      <c r="IS80" s="7">
        <v>2018</v>
      </c>
      <c r="IT80" s="7">
        <v>434</v>
      </c>
      <c r="IU80" s="7">
        <v>90</v>
      </c>
      <c r="IV80" s="7">
        <v>8284</v>
      </c>
      <c r="IW80" s="7">
        <v>10829</v>
      </c>
      <c r="IX80" s="7">
        <v>1963</v>
      </c>
      <c r="IY80" s="7">
        <v>301</v>
      </c>
      <c r="IZ80" s="7">
        <v>246</v>
      </c>
      <c r="JA80" s="7">
        <v>3502</v>
      </c>
      <c r="JB80" s="7">
        <v>11527</v>
      </c>
      <c r="JC80" s="7">
        <v>8415</v>
      </c>
      <c r="JD80" s="7">
        <v>744</v>
      </c>
      <c r="JE80" s="7">
        <v>63</v>
      </c>
      <c r="JF80" s="151">
        <v>21329.683334046225</v>
      </c>
      <c r="JG80" s="151">
        <v>3835.8107427536984</v>
      </c>
      <c r="JH80" s="7">
        <v>4366</v>
      </c>
      <c r="JI80" s="7">
        <v>17832</v>
      </c>
      <c r="JJ80" s="7">
        <v>2937</v>
      </c>
      <c r="JK80" s="7">
        <v>119</v>
      </c>
      <c r="JL80" s="7">
        <v>14996</v>
      </c>
      <c r="JM80" s="7">
        <v>8040</v>
      </c>
      <c r="JN80" s="7">
        <v>3215</v>
      </c>
      <c r="JO80" s="7">
        <v>14212</v>
      </c>
      <c r="JP80" s="7">
        <v>18501</v>
      </c>
      <c r="JQ80" s="7">
        <v>2196</v>
      </c>
      <c r="JR80" s="7">
        <v>2474</v>
      </c>
      <c r="JS80" s="7">
        <v>10116</v>
      </c>
      <c r="JT80" s="7">
        <v>963</v>
      </c>
      <c r="JU80" s="151">
        <v>4135.224746774401</v>
      </c>
      <c r="JV80" s="151">
        <v>15888.719174960344</v>
      </c>
      <c r="JW80" s="151">
        <v>1183.168241694711</v>
      </c>
      <c r="JX80" s="151">
        <v>122.57117061676986</v>
      </c>
      <c r="JY80" s="7">
        <v>24003</v>
      </c>
      <c r="JZ80" s="7">
        <v>108502</v>
      </c>
      <c r="KA80" s="7">
        <v>620</v>
      </c>
      <c r="KB80" s="7">
        <v>352</v>
      </c>
      <c r="KC80" s="7">
        <v>42</v>
      </c>
      <c r="KD80" s="7">
        <v>19</v>
      </c>
      <c r="KE80" s="7">
        <v>0</v>
      </c>
      <c r="KF80" s="7">
        <v>0</v>
      </c>
      <c r="KG80" s="7">
        <v>1380</v>
      </c>
      <c r="KH80" s="7">
        <v>21883</v>
      </c>
      <c r="KI80" s="7">
        <v>76805</v>
      </c>
      <c r="KJ80" s="7">
        <v>10626</v>
      </c>
      <c r="KK80" s="7">
        <v>523</v>
      </c>
      <c r="KL80" s="7">
        <v>17982</v>
      </c>
      <c r="KM80" s="7">
        <v>69092</v>
      </c>
      <c r="KN80" s="7">
        <v>5145</v>
      </c>
      <c r="KO80" s="7">
        <v>533</v>
      </c>
      <c r="KP80" s="7">
        <v>92752</v>
      </c>
      <c r="KQ80" s="7">
        <v>16680</v>
      </c>
      <c r="KR80" s="7">
        <v>18535</v>
      </c>
      <c r="KS80" s="7">
        <v>18535</v>
      </c>
      <c r="KT80" s="7">
        <v>3454</v>
      </c>
      <c r="KU80" s="7">
        <v>1194</v>
      </c>
      <c r="KV80" s="7">
        <v>3463</v>
      </c>
      <c r="KW80" s="7">
        <v>4</v>
      </c>
      <c r="KX80" s="7">
        <v>3308</v>
      </c>
      <c r="KY80" s="7">
        <v>1204</v>
      </c>
      <c r="KZ80" s="7">
        <v>3191</v>
      </c>
      <c r="LA80" s="7">
        <v>4</v>
      </c>
      <c r="LB80" s="7">
        <v>9716</v>
      </c>
      <c r="LC80" s="7">
        <v>9683</v>
      </c>
      <c r="LD80" s="7">
        <v>4866</v>
      </c>
      <c r="LE80" s="7">
        <v>8431</v>
      </c>
      <c r="LF80" s="7">
        <v>70474</v>
      </c>
      <c r="LG80" s="7">
        <v>132</v>
      </c>
      <c r="LH80" s="7">
        <v>11706</v>
      </c>
      <c r="LI80" s="7">
        <v>2370</v>
      </c>
      <c r="LJ80" s="7">
        <v>6123</v>
      </c>
      <c r="LK80" s="7">
        <v>38</v>
      </c>
      <c r="LL80" s="7">
        <v>6013</v>
      </c>
      <c r="LM80" s="7">
        <v>2751</v>
      </c>
      <c r="LN80" s="7">
        <v>136</v>
      </c>
      <c r="LO80" s="7">
        <v>12273</v>
      </c>
      <c r="LP80" s="7">
        <v>2028</v>
      </c>
      <c r="LQ80" s="7">
        <v>5864</v>
      </c>
      <c r="LR80" s="7">
        <v>73</v>
      </c>
      <c r="LS80" s="7">
        <v>5676</v>
      </c>
      <c r="LT80" s="7">
        <v>2129</v>
      </c>
      <c r="LU80" s="232">
        <v>6.4794393191999999</v>
      </c>
      <c r="LV80" s="232">
        <v>6.9113506509000002</v>
      </c>
      <c r="LW80" s="232">
        <v>6.0716331581</v>
      </c>
      <c r="LX80" s="7">
        <v>25254</v>
      </c>
      <c r="LY80" s="7">
        <v>109837</v>
      </c>
    </row>
    <row r="81" spans="1:337" x14ac:dyDescent="0.25">
      <c r="A81" t="s">
        <v>168</v>
      </c>
      <c r="B81" t="s">
        <v>169</v>
      </c>
      <c r="C81" s="7">
        <v>16262</v>
      </c>
      <c r="D81">
        <v>20589</v>
      </c>
      <c r="F81">
        <f t="shared" si="4"/>
        <v>-20589</v>
      </c>
      <c r="G81">
        <f t="shared" si="5"/>
        <v>-100</v>
      </c>
      <c r="H81">
        <v>10226</v>
      </c>
      <c r="I81">
        <v>10363</v>
      </c>
      <c r="J81">
        <v>6888</v>
      </c>
      <c r="K81">
        <v>13701</v>
      </c>
      <c r="L81" s="7">
        <v>1539</v>
      </c>
      <c r="M81" s="7">
        <v>1600</v>
      </c>
      <c r="N81" s="7">
        <v>1529</v>
      </c>
      <c r="O81" s="7">
        <v>1091</v>
      </c>
      <c r="P81" s="7">
        <v>868</v>
      </c>
      <c r="Q81" s="7">
        <v>619</v>
      </c>
      <c r="R81" s="7">
        <v>621</v>
      </c>
      <c r="S81" s="7">
        <v>526</v>
      </c>
      <c r="T81" s="7">
        <v>363</v>
      </c>
      <c r="U81" s="7">
        <v>324</v>
      </c>
      <c r="V81" s="7">
        <v>235</v>
      </c>
      <c r="W81" s="7">
        <v>185</v>
      </c>
      <c r="X81" s="7">
        <v>172</v>
      </c>
      <c r="Y81" s="7">
        <v>345</v>
      </c>
      <c r="Z81" s="7">
        <v>209</v>
      </c>
      <c r="AA81" s="7">
        <v>1537</v>
      </c>
      <c r="AB81" s="7">
        <v>1514</v>
      </c>
      <c r="AC81" s="7">
        <v>1415</v>
      </c>
      <c r="AD81" s="7">
        <v>1196</v>
      </c>
      <c r="AE81" s="7">
        <v>972</v>
      </c>
      <c r="AF81" s="7">
        <v>694</v>
      </c>
      <c r="AG81" s="7">
        <v>607</v>
      </c>
      <c r="AH81" s="7">
        <v>589</v>
      </c>
      <c r="AI81" s="7">
        <v>339</v>
      </c>
      <c r="AJ81" s="7">
        <v>341</v>
      </c>
      <c r="AK81" s="7">
        <v>252</v>
      </c>
      <c r="AL81" s="7">
        <v>207</v>
      </c>
      <c r="AM81" s="7">
        <v>178</v>
      </c>
      <c r="AN81" s="7">
        <v>314</v>
      </c>
      <c r="AO81" s="7">
        <v>208</v>
      </c>
      <c r="AP81">
        <v>20155</v>
      </c>
      <c r="AQ81">
        <v>3</v>
      </c>
      <c r="AR81">
        <v>2</v>
      </c>
      <c r="AS81">
        <v>1</v>
      </c>
      <c r="AT81">
        <v>428</v>
      </c>
      <c r="AU81" s="7">
        <v>16716</v>
      </c>
      <c r="AV81" s="7">
        <v>8334</v>
      </c>
      <c r="AW81" s="7">
        <v>8382</v>
      </c>
      <c r="AX81" s="7">
        <v>11095</v>
      </c>
      <c r="AY81" s="7">
        <v>16716</v>
      </c>
      <c r="AZ81" s="7">
        <v>12016</v>
      </c>
      <c r="BA81" s="7">
        <v>4700</v>
      </c>
      <c r="BB81" s="7">
        <v>575</v>
      </c>
      <c r="BC81" s="7">
        <v>597</v>
      </c>
      <c r="BD81" s="7">
        <v>1477</v>
      </c>
      <c r="BE81" s="7">
        <v>1400</v>
      </c>
      <c r="BF81" s="7">
        <v>1401</v>
      </c>
      <c r="BG81" s="7">
        <v>1275</v>
      </c>
      <c r="BH81" s="7">
        <v>988</v>
      </c>
      <c r="BI81" s="7">
        <v>1097</v>
      </c>
      <c r="BJ81" s="7">
        <v>798</v>
      </c>
      <c r="BK81" s="7">
        <v>884</v>
      </c>
      <c r="BL81" s="7">
        <v>563</v>
      </c>
      <c r="BM81" s="7">
        <v>623</v>
      </c>
      <c r="BN81" s="7">
        <v>564</v>
      </c>
      <c r="BO81" s="7">
        <v>540</v>
      </c>
      <c r="BP81" s="7">
        <v>487</v>
      </c>
      <c r="BQ81" s="7">
        <v>525</v>
      </c>
      <c r="BR81" s="7">
        <v>323</v>
      </c>
      <c r="BS81" s="7">
        <v>294</v>
      </c>
      <c r="BT81" s="7">
        <v>305</v>
      </c>
      <c r="BU81" s="7">
        <v>306</v>
      </c>
      <c r="BV81" s="7">
        <v>212</v>
      </c>
      <c r="BW81" s="7">
        <v>226</v>
      </c>
      <c r="BX81" s="7">
        <v>167</v>
      </c>
      <c r="BY81" s="7">
        <v>178</v>
      </c>
      <c r="BZ81" s="7">
        <v>160</v>
      </c>
      <c r="CA81" s="7">
        <v>161</v>
      </c>
      <c r="CB81" s="7">
        <v>314</v>
      </c>
      <c r="CC81" s="7">
        <v>276</v>
      </c>
      <c r="CD81" s="7">
        <v>3758</v>
      </c>
      <c r="CE81" s="7">
        <v>2222</v>
      </c>
      <c r="CF81" s="7">
        <v>4511</v>
      </c>
      <c r="CG81" s="7">
        <v>6087</v>
      </c>
      <c r="CH81" s="7">
        <v>3288</v>
      </c>
      <c r="CI81" s="7">
        <v>404</v>
      </c>
      <c r="CJ81" s="7">
        <v>18558</v>
      </c>
      <c r="CK81" s="7">
        <v>1626</v>
      </c>
      <c r="CL81" s="7">
        <v>104</v>
      </c>
      <c r="CM81" s="7">
        <v>350</v>
      </c>
      <c r="CN81" s="7">
        <v>451</v>
      </c>
      <c r="CO81" s="7">
        <v>586</v>
      </c>
      <c r="CP81" s="7">
        <v>559</v>
      </c>
      <c r="CQ81" s="7">
        <v>1642</v>
      </c>
      <c r="CR81" s="7">
        <v>3151</v>
      </c>
      <c r="CS81" s="7">
        <v>11579</v>
      </c>
      <c r="CT81" s="7">
        <v>732</v>
      </c>
      <c r="CU81" s="7">
        <v>341</v>
      </c>
      <c r="CV81" s="7">
        <v>163</v>
      </c>
      <c r="CW81" s="7">
        <v>364</v>
      </c>
      <c r="CX81" s="7">
        <v>10</v>
      </c>
      <c r="CY81" s="7">
        <v>14255</v>
      </c>
      <c r="CZ81" s="7">
        <v>4902</v>
      </c>
      <c r="DA81" s="7">
        <v>31</v>
      </c>
      <c r="DB81" s="7">
        <v>104</v>
      </c>
      <c r="DC81" s="7">
        <v>5</v>
      </c>
      <c r="DD81" s="7">
        <v>8117</v>
      </c>
      <c r="DE81" s="7">
        <v>2185</v>
      </c>
      <c r="DF81" s="7">
        <v>3399</v>
      </c>
      <c r="DG81" s="7">
        <v>0</v>
      </c>
      <c r="DH81" s="7">
        <v>6888</v>
      </c>
      <c r="DI81" s="7">
        <v>0</v>
      </c>
      <c r="DJ81" s="7">
        <v>0</v>
      </c>
      <c r="DK81" s="7">
        <v>0</v>
      </c>
      <c r="DL81" s="7">
        <v>107</v>
      </c>
      <c r="DM81" s="7">
        <v>7</v>
      </c>
      <c r="DN81" s="7">
        <v>3</v>
      </c>
      <c r="DO81" s="7">
        <v>0</v>
      </c>
      <c r="DP81" s="7">
        <v>1</v>
      </c>
      <c r="DQ81" s="7">
        <v>0</v>
      </c>
      <c r="DR81" s="7">
        <v>0</v>
      </c>
      <c r="DS81" s="7">
        <v>0</v>
      </c>
      <c r="DT81" s="7">
        <v>60</v>
      </c>
      <c r="DU81" s="7">
        <v>33</v>
      </c>
      <c r="DV81" s="7">
        <v>16</v>
      </c>
      <c r="DW81" s="7">
        <v>21</v>
      </c>
      <c r="DX81" s="7">
        <v>7</v>
      </c>
      <c r="DY81" s="7">
        <v>5</v>
      </c>
      <c r="DZ81" s="7">
        <v>16</v>
      </c>
      <c r="EA81" s="7">
        <v>11</v>
      </c>
      <c r="EB81" s="7">
        <v>1</v>
      </c>
      <c r="EC81" s="7">
        <v>5</v>
      </c>
      <c r="ED81" s="7">
        <v>1</v>
      </c>
      <c r="EE81" s="7">
        <v>2</v>
      </c>
      <c r="EF81" s="7">
        <v>12</v>
      </c>
      <c r="EG81" s="7">
        <v>7</v>
      </c>
      <c r="EH81" s="7">
        <v>69</v>
      </c>
      <c r="EI81" s="7">
        <v>26</v>
      </c>
      <c r="EJ81" s="7">
        <v>10</v>
      </c>
      <c r="EK81" s="7">
        <v>13</v>
      </c>
      <c r="EL81" s="7">
        <v>5</v>
      </c>
      <c r="EM81" s="7">
        <v>2</v>
      </c>
      <c r="EN81" s="7">
        <v>16</v>
      </c>
      <c r="EO81" s="7">
        <v>4730</v>
      </c>
      <c r="EP81" s="7">
        <v>4633</v>
      </c>
      <c r="EQ81" s="7">
        <v>97</v>
      </c>
      <c r="ER81" s="7">
        <v>1424</v>
      </c>
      <c r="ES81" s="7">
        <v>431</v>
      </c>
      <c r="ET81" s="7">
        <v>426</v>
      </c>
      <c r="EU81" s="7">
        <v>5</v>
      </c>
      <c r="EV81" s="7">
        <v>6040</v>
      </c>
      <c r="EW81" s="134">
        <v>81.713833366000003</v>
      </c>
      <c r="EX81" s="134">
        <v>6.7484662576999996</v>
      </c>
      <c r="EY81" s="134">
        <v>4.8683950128999998</v>
      </c>
      <c r="EZ81" s="134">
        <v>6.2141302197000003</v>
      </c>
      <c r="FA81" s="134">
        <v>0.45517514349999999</v>
      </c>
      <c r="FB81" s="7">
        <v>1646</v>
      </c>
      <c r="FC81" s="7">
        <v>2627</v>
      </c>
      <c r="FD81" s="7">
        <v>139</v>
      </c>
      <c r="FE81" s="7">
        <v>477</v>
      </c>
      <c r="FF81" s="7">
        <v>1</v>
      </c>
      <c r="FG81" s="7">
        <v>213</v>
      </c>
      <c r="FH81" s="7">
        <v>48</v>
      </c>
      <c r="FI81" s="134">
        <v>87.294676429999996</v>
      </c>
      <c r="FJ81" s="134">
        <v>5.5610528399000003</v>
      </c>
      <c r="FK81" s="134">
        <v>5.1256679199999997</v>
      </c>
      <c r="FL81" s="134">
        <v>2.0186028102</v>
      </c>
      <c r="FM81" s="151">
        <v>6262</v>
      </c>
      <c r="FN81" s="151">
        <v>3640</v>
      </c>
      <c r="FO81" s="7">
        <v>696</v>
      </c>
      <c r="FP81" s="7">
        <v>38</v>
      </c>
      <c r="FQ81" s="7">
        <v>13</v>
      </c>
      <c r="FR81" s="7">
        <v>3</v>
      </c>
      <c r="FS81" s="7">
        <v>5360</v>
      </c>
      <c r="FT81" s="7">
        <v>14</v>
      </c>
      <c r="FU81" s="7">
        <v>143</v>
      </c>
      <c r="FV81" s="7">
        <v>324</v>
      </c>
      <c r="FW81" s="7">
        <v>6639</v>
      </c>
      <c r="FX81" s="7">
        <v>3392</v>
      </c>
      <c r="FY81" s="7">
        <v>720</v>
      </c>
      <c r="FZ81" s="7">
        <v>42</v>
      </c>
      <c r="GA81" s="7">
        <v>9</v>
      </c>
      <c r="GB81" s="7">
        <v>2</v>
      </c>
      <c r="GC81" s="7">
        <v>5716</v>
      </c>
      <c r="GD81" s="7">
        <v>18</v>
      </c>
      <c r="GE81" s="7">
        <v>135</v>
      </c>
      <c r="GF81" s="7">
        <v>332</v>
      </c>
      <c r="GG81" s="7">
        <v>928</v>
      </c>
      <c r="GH81" s="7">
        <v>1022</v>
      </c>
      <c r="GI81" s="7">
        <v>987</v>
      </c>
      <c r="GJ81" s="7">
        <v>667</v>
      </c>
      <c r="GK81" s="7">
        <v>462</v>
      </c>
      <c r="GL81" s="7">
        <v>388</v>
      </c>
      <c r="GM81" s="7">
        <v>404</v>
      </c>
      <c r="GN81" s="7">
        <v>347</v>
      </c>
      <c r="GO81" s="7">
        <v>249</v>
      </c>
      <c r="GP81" s="7">
        <v>202</v>
      </c>
      <c r="GQ81" s="7">
        <v>156</v>
      </c>
      <c r="GR81" s="7">
        <v>118</v>
      </c>
      <c r="GS81" s="7">
        <v>103</v>
      </c>
      <c r="GT81" s="7">
        <v>83</v>
      </c>
      <c r="GU81" s="7">
        <v>65</v>
      </c>
      <c r="GV81" s="7">
        <v>35</v>
      </c>
      <c r="GW81" s="7">
        <v>24</v>
      </c>
      <c r="GX81" s="7">
        <v>18</v>
      </c>
      <c r="GY81" s="7">
        <v>942</v>
      </c>
      <c r="GZ81" s="7">
        <v>985</v>
      </c>
      <c r="HA81" s="7">
        <v>957</v>
      </c>
      <c r="HB81" s="7">
        <v>678</v>
      </c>
      <c r="HC81" s="7">
        <v>590</v>
      </c>
      <c r="HD81" s="7">
        <v>477</v>
      </c>
      <c r="HE81" s="7">
        <v>437</v>
      </c>
      <c r="HF81" s="7">
        <v>420</v>
      </c>
      <c r="HG81" s="7">
        <v>240</v>
      </c>
      <c r="HH81" s="7">
        <v>244</v>
      </c>
      <c r="HI81" s="7">
        <v>178</v>
      </c>
      <c r="HJ81" s="7">
        <v>148</v>
      </c>
      <c r="HK81" s="7">
        <v>119</v>
      </c>
      <c r="HL81" s="7">
        <v>77</v>
      </c>
      <c r="HM81" s="7">
        <v>71</v>
      </c>
      <c r="HN81" s="7">
        <v>29</v>
      </c>
      <c r="HO81" s="7">
        <v>22</v>
      </c>
      <c r="HP81" s="7">
        <v>23</v>
      </c>
      <c r="HQ81" s="7">
        <v>3658</v>
      </c>
      <c r="HR81" s="7">
        <v>4</v>
      </c>
      <c r="HS81" s="7">
        <v>0</v>
      </c>
      <c r="HT81" s="7">
        <v>1</v>
      </c>
      <c r="HU81" s="7">
        <v>0</v>
      </c>
      <c r="HV81" s="7">
        <v>1</v>
      </c>
      <c r="HW81" s="7">
        <v>0</v>
      </c>
      <c r="HX81" s="7">
        <v>163</v>
      </c>
      <c r="HY81" s="7">
        <v>104</v>
      </c>
      <c r="HZ81" s="7">
        <v>350</v>
      </c>
      <c r="IA81" s="7">
        <v>451</v>
      </c>
      <c r="IB81" s="7">
        <v>586</v>
      </c>
      <c r="IC81" s="7">
        <v>559</v>
      </c>
      <c r="ID81" s="7">
        <v>493</v>
      </c>
      <c r="IE81" s="7">
        <v>366</v>
      </c>
      <c r="IF81" s="7">
        <v>296</v>
      </c>
      <c r="IG81" s="7">
        <v>486</v>
      </c>
      <c r="IH81" s="7">
        <v>286</v>
      </c>
      <c r="II81" s="7">
        <v>2013</v>
      </c>
      <c r="IJ81" s="7">
        <v>888</v>
      </c>
      <c r="IK81" s="7">
        <v>312</v>
      </c>
      <c r="IL81" s="7">
        <v>108</v>
      </c>
      <c r="IM81" s="7">
        <v>29</v>
      </c>
      <c r="IN81" s="7">
        <v>4</v>
      </c>
      <c r="IO81" s="7">
        <v>5</v>
      </c>
      <c r="IP81" s="7">
        <v>7</v>
      </c>
      <c r="IQ81" s="7">
        <v>2437</v>
      </c>
      <c r="IR81" s="7">
        <v>872</v>
      </c>
      <c r="IS81" s="7">
        <v>250</v>
      </c>
      <c r="IT81" s="7">
        <v>75</v>
      </c>
      <c r="IU81" s="7">
        <v>20</v>
      </c>
      <c r="IV81" s="7">
        <v>424</v>
      </c>
      <c r="IW81" s="7">
        <v>2435</v>
      </c>
      <c r="IX81" s="7">
        <v>27</v>
      </c>
      <c r="IY81" s="7">
        <v>126</v>
      </c>
      <c r="IZ81" s="7">
        <v>0</v>
      </c>
      <c r="JA81" s="7">
        <v>664</v>
      </c>
      <c r="JB81" s="7">
        <v>1410</v>
      </c>
      <c r="JC81" s="7">
        <v>408</v>
      </c>
      <c r="JD81" s="7">
        <v>436</v>
      </c>
      <c r="JE81" s="7">
        <v>109</v>
      </c>
      <c r="JF81" s="151">
        <v>3258.3031581011446</v>
      </c>
      <c r="JG81" s="151">
        <v>416.50234609534084</v>
      </c>
      <c r="JH81" s="7">
        <v>1264</v>
      </c>
      <c r="JI81" s="7">
        <v>2259</v>
      </c>
      <c r="JJ81" s="7">
        <v>149</v>
      </c>
      <c r="JK81" s="7">
        <v>19</v>
      </c>
      <c r="JL81" s="7">
        <v>389</v>
      </c>
      <c r="JM81" s="7">
        <v>82</v>
      </c>
      <c r="JN81" s="7">
        <v>94</v>
      </c>
      <c r="JO81" s="7">
        <v>1303</v>
      </c>
      <c r="JP81" s="7">
        <v>1355</v>
      </c>
      <c r="JQ81" s="7">
        <v>38</v>
      </c>
      <c r="JR81" s="7">
        <v>49</v>
      </c>
      <c r="JS81" s="7">
        <v>258</v>
      </c>
      <c r="JT81" s="7">
        <v>7</v>
      </c>
      <c r="JU81" s="151">
        <v>277.85114787827087</v>
      </c>
      <c r="JV81" s="151">
        <v>1636.7426406943828</v>
      </c>
      <c r="JW81" s="151">
        <v>1326.5151576123899</v>
      </c>
      <c r="JX81" s="151">
        <v>17.194211916101025</v>
      </c>
      <c r="JY81" s="7">
        <v>3284</v>
      </c>
      <c r="JZ81" s="7">
        <v>20010</v>
      </c>
      <c r="KA81" s="7">
        <v>29</v>
      </c>
      <c r="KB81" s="7">
        <v>0</v>
      </c>
      <c r="KC81" s="7">
        <v>2</v>
      </c>
      <c r="KD81" s="7">
        <v>0</v>
      </c>
      <c r="KE81" s="7">
        <v>10</v>
      </c>
      <c r="KF81" s="7">
        <v>0</v>
      </c>
      <c r="KG81" s="7">
        <v>538</v>
      </c>
      <c r="KH81" s="7">
        <v>6796</v>
      </c>
      <c r="KI81" s="7">
        <v>12416</v>
      </c>
      <c r="KJ81" s="7">
        <v>848</v>
      </c>
      <c r="KK81" s="7">
        <v>114</v>
      </c>
      <c r="KL81" s="7">
        <v>1519</v>
      </c>
      <c r="KM81" s="7">
        <v>8948</v>
      </c>
      <c r="KN81" s="7">
        <v>7252</v>
      </c>
      <c r="KO81" s="7">
        <v>94</v>
      </c>
      <c r="KP81" s="7">
        <v>17813</v>
      </c>
      <c r="KQ81" s="7">
        <v>2277</v>
      </c>
      <c r="KR81" s="7">
        <v>3208</v>
      </c>
      <c r="KS81" s="7">
        <v>3208</v>
      </c>
      <c r="KT81" s="7">
        <v>605</v>
      </c>
      <c r="KU81" s="7">
        <v>221</v>
      </c>
      <c r="KV81" s="7">
        <v>430</v>
      </c>
      <c r="KW81" s="7">
        <v>0</v>
      </c>
      <c r="KX81" s="7">
        <v>584</v>
      </c>
      <c r="KY81" s="7">
        <v>187</v>
      </c>
      <c r="KZ81" s="7">
        <v>295</v>
      </c>
      <c r="LA81" s="7">
        <v>0</v>
      </c>
      <c r="LB81" s="7">
        <v>1521</v>
      </c>
      <c r="LC81" s="7">
        <v>1410</v>
      </c>
      <c r="LD81" s="7">
        <v>1829</v>
      </c>
      <c r="LE81" s="7">
        <v>2992</v>
      </c>
      <c r="LF81" s="7">
        <v>11038</v>
      </c>
      <c r="LG81" s="7">
        <v>14</v>
      </c>
      <c r="LH81" s="7">
        <v>2483</v>
      </c>
      <c r="LI81" s="7">
        <v>335</v>
      </c>
      <c r="LJ81" s="7">
        <v>539</v>
      </c>
      <c r="LK81" s="7">
        <v>0</v>
      </c>
      <c r="LL81" s="7">
        <v>331</v>
      </c>
      <c r="LM81" s="7">
        <v>52</v>
      </c>
      <c r="LN81" s="7">
        <v>21</v>
      </c>
      <c r="LO81" s="7">
        <v>2317</v>
      </c>
      <c r="LP81" s="7">
        <v>222</v>
      </c>
      <c r="LQ81" s="7">
        <v>351</v>
      </c>
      <c r="LR81" s="7">
        <v>1</v>
      </c>
      <c r="LS81" s="7">
        <v>183</v>
      </c>
      <c r="LT81" s="7">
        <v>25</v>
      </c>
      <c r="LU81" s="232">
        <v>3.6629397328</v>
      </c>
      <c r="LV81" s="232">
        <v>4.3490335898000003</v>
      </c>
      <c r="LW81" s="232">
        <v>3.0183356841000002</v>
      </c>
      <c r="LX81" s="7">
        <v>3691</v>
      </c>
      <c r="LY81" s="7">
        <v>20174</v>
      </c>
    </row>
    <row r="82" spans="1:337" x14ac:dyDescent="0.25">
      <c r="A82" t="s">
        <v>170</v>
      </c>
      <c r="B82" t="s">
        <v>171</v>
      </c>
      <c r="C82" s="7">
        <v>8566</v>
      </c>
      <c r="D82">
        <v>10870</v>
      </c>
      <c r="F82">
        <f t="shared" si="4"/>
        <v>-10870</v>
      </c>
      <c r="G82">
        <f t="shared" si="5"/>
        <v>-100</v>
      </c>
      <c r="H82">
        <v>5399</v>
      </c>
      <c r="I82">
        <v>5471</v>
      </c>
      <c r="J82">
        <v>0</v>
      </c>
      <c r="K82">
        <v>10870</v>
      </c>
      <c r="L82" s="7">
        <v>704</v>
      </c>
      <c r="M82" s="7">
        <v>763</v>
      </c>
      <c r="N82" s="7">
        <v>721</v>
      </c>
      <c r="O82" s="7">
        <v>648</v>
      </c>
      <c r="P82" s="7">
        <v>483</v>
      </c>
      <c r="Q82" s="7">
        <v>411</v>
      </c>
      <c r="R82" s="7">
        <v>332</v>
      </c>
      <c r="S82" s="7">
        <v>300</v>
      </c>
      <c r="T82" s="7">
        <v>208</v>
      </c>
      <c r="U82" s="7">
        <v>184</v>
      </c>
      <c r="V82" s="7">
        <v>147</v>
      </c>
      <c r="W82" s="7">
        <v>152</v>
      </c>
      <c r="X82" s="7">
        <v>108</v>
      </c>
      <c r="Y82" s="7">
        <v>232</v>
      </c>
      <c r="Z82" s="7">
        <v>6</v>
      </c>
      <c r="AA82" s="7">
        <v>714</v>
      </c>
      <c r="AB82" s="7">
        <v>715</v>
      </c>
      <c r="AC82" s="7">
        <v>723</v>
      </c>
      <c r="AD82" s="7">
        <v>592</v>
      </c>
      <c r="AE82" s="7">
        <v>511</v>
      </c>
      <c r="AF82" s="7">
        <v>395</v>
      </c>
      <c r="AG82" s="7">
        <v>370</v>
      </c>
      <c r="AH82" s="7">
        <v>341</v>
      </c>
      <c r="AI82" s="7">
        <v>237</v>
      </c>
      <c r="AJ82" s="7">
        <v>189</v>
      </c>
      <c r="AK82" s="7">
        <v>178</v>
      </c>
      <c r="AL82" s="7">
        <v>127</v>
      </c>
      <c r="AM82" s="7">
        <v>116</v>
      </c>
      <c r="AN82" s="7">
        <v>257</v>
      </c>
      <c r="AO82" s="7">
        <v>6</v>
      </c>
      <c r="AP82">
        <v>10828</v>
      </c>
      <c r="AQ82">
        <v>20</v>
      </c>
      <c r="AR82">
        <v>1</v>
      </c>
      <c r="AS82">
        <v>1</v>
      </c>
      <c r="AT82">
        <v>20</v>
      </c>
      <c r="AU82" s="7">
        <v>4548</v>
      </c>
      <c r="AV82" s="7">
        <v>2235</v>
      </c>
      <c r="AW82" s="7">
        <v>2313</v>
      </c>
      <c r="AX82" s="7">
        <v>3799</v>
      </c>
      <c r="AY82" s="7">
        <v>4548</v>
      </c>
      <c r="AZ82" s="7">
        <v>4548</v>
      </c>
      <c r="BA82" s="7">
        <v>0</v>
      </c>
      <c r="BB82" s="7">
        <v>72</v>
      </c>
      <c r="BC82" s="7">
        <v>68</v>
      </c>
      <c r="BD82" s="7">
        <v>241</v>
      </c>
      <c r="BE82" s="7">
        <v>246</v>
      </c>
      <c r="BF82" s="7">
        <v>296</v>
      </c>
      <c r="BG82" s="7">
        <v>275</v>
      </c>
      <c r="BH82" s="7">
        <v>266</v>
      </c>
      <c r="BI82" s="7">
        <v>247</v>
      </c>
      <c r="BJ82" s="7">
        <v>223</v>
      </c>
      <c r="BK82" s="7">
        <v>224</v>
      </c>
      <c r="BL82" s="7">
        <v>211</v>
      </c>
      <c r="BM82" s="7">
        <v>175</v>
      </c>
      <c r="BN82" s="7">
        <v>159</v>
      </c>
      <c r="BO82" s="7">
        <v>187</v>
      </c>
      <c r="BP82" s="7">
        <v>144</v>
      </c>
      <c r="BQ82" s="7">
        <v>182</v>
      </c>
      <c r="BR82" s="7">
        <v>114</v>
      </c>
      <c r="BS82" s="7">
        <v>135</v>
      </c>
      <c r="BT82" s="7">
        <v>111</v>
      </c>
      <c r="BU82" s="7">
        <v>110</v>
      </c>
      <c r="BV82" s="7">
        <v>95</v>
      </c>
      <c r="BW82" s="7">
        <v>117</v>
      </c>
      <c r="BX82" s="7">
        <v>99</v>
      </c>
      <c r="BY82" s="7">
        <v>83</v>
      </c>
      <c r="BZ82" s="7">
        <v>65</v>
      </c>
      <c r="CA82" s="7">
        <v>79</v>
      </c>
      <c r="CB82" s="7">
        <v>139</v>
      </c>
      <c r="CC82" s="7">
        <v>185</v>
      </c>
      <c r="CD82" s="7">
        <v>2178</v>
      </c>
      <c r="CE82" s="7">
        <v>2247</v>
      </c>
      <c r="CF82" s="7">
        <v>16</v>
      </c>
      <c r="CG82" s="7">
        <v>24</v>
      </c>
      <c r="CH82" s="7">
        <v>1965</v>
      </c>
      <c r="CI82" s="7">
        <v>399</v>
      </c>
      <c r="CJ82" s="7">
        <v>9611</v>
      </c>
      <c r="CK82" s="7">
        <v>1250</v>
      </c>
      <c r="CL82" s="7">
        <v>156</v>
      </c>
      <c r="CM82" s="7">
        <v>286</v>
      </c>
      <c r="CN82" s="7">
        <v>382</v>
      </c>
      <c r="CO82" s="7">
        <v>434</v>
      </c>
      <c r="CP82" s="7">
        <v>401</v>
      </c>
      <c r="CQ82" s="7">
        <v>705</v>
      </c>
      <c r="CR82" s="7">
        <v>1848</v>
      </c>
      <c r="CS82" s="7">
        <v>5809</v>
      </c>
      <c r="CT82" s="7">
        <v>364</v>
      </c>
      <c r="CU82" s="7">
        <v>153</v>
      </c>
      <c r="CV82" s="7">
        <v>76</v>
      </c>
      <c r="CW82" s="7">
        <v>163</v>
      </c>
      <c r="CX82" s="7">
        <v>4</v>
      </c>
      <c r="CY82" s="7">
        <v>7998</v>
      </c>
      <c r="CZ82" s="7">
        <v>2316</v>
      </c>
      <c r="DA82" s="7">
        <v>11</v>
      </c>
      <c r="DB82" s="7">
        <v>156</v>
      </c>
      <c r="DC82" s="7">
        <v>3</v>
      </c>
      <c r="DD82" s="7">
        <v>1946</v>
      </c>
      <c r="DE82" s="7">
        <v>3652</v>
      </c>
      <c r="DF82" s="7">
        <v>5272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29</v>
      </c>
      <c r="DM82" s="7">
        <v>10</v>
      </c>
      <c r="DN82" s="7">
        <v>5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84</v>
      </c>
      <c r="DU82" s="7">
        <v>93</v>
      </c>
      <c r="DV82" s="7">
        <v>37</v>
      </c>
      <c r="DW82" s="7">
        <v>37</v>
      </c>
      <c r="DX82" s="7">
        <v>25</v>
      </c>
      <c r="DY82" s="7">
        <v>20</v>
      </c>
      <c r="DZ82" s="7">
        <v>21</v>
      </c>
      <c r="EA82" s="7">
        <v>22</v>
      </c>
      <c r="EB82" s="7">
        <v>4</v>
      </c>
      <c r="EC82" s="7">
        <v>4</v>
      </c>
      <c r="ED82" s="7">
        <v>2</v>
      </c>
      <c r="EE82" s="7">
        <v>6</v>
      </c>
      <c r="EF82" s="7">
        <v>21</v>
      </c>
      <c r="EG82" s="7">
        <v>14</v>
      </c>
      <c r="EH82" s="7">
        <v>132</v>
      </c>
      <c r="EI82" s="7">
        <v>52</v>
      </c>
      <c r="EJ82" s="7">
        <v>26</v>
      </c>
      <c r="EK82" s="7">
        <v>22</v>
      </c>
      <c r="EL82" s="7">
        <v>3</v>
      </c>
      <c r="EM82" s="7">
        <v>4</v>
      </c>
      <c r="EN82" s="7">
        <v>24</v>
      </c>
      <c r="EO82" s="7">
        <v>2677</v>
      </c>
      <c r="EP82" s="7">
        <v>2587</v>
      </c>
      <c r="EQ82" s="7">
        <v>90</v>
      </c>
      <c r="ER82" s="7">
        <v>926</v>
      </c>
      <c r="ES82" s="7">
        <v>435</v>
      </c>
      <c r="ET82" s="7">
        <v>420</v>
      </c>
      <c r="EU82" s="7">
        <v>15</v>
      </c>
      <c r="EV82" s="7">
        <v>3230</v>
      </c>
      <c r="EW82" s="134">
        <v>76.026711184999996</v>
      </c>
      <c r="EX82" s="134">
        <v>6.7111853088000002</v>
      </c>
      <c r="EY82" s="134">
        <v>5.5091819699000002</v>
      </c>
      <c r="EZ82" s="134">
        <v>10.050083472000001</v>
      </c>
      <c r="FA82" s="134">
        <v>1.7028380634</v>
      </c>
      <c r="FB82" s="7">
        <v>832</v>
      </c>
      <c r="FC82" s="7">
        <v>1290</v>
      </c>
      <c r="FD82" s="7">
        <v>125</v>
      </c>
      <c r="FE82" s="7">
        <v>508</v>
      </c>
      <c r="FF82" s="7">
        <v>1</v>
      </c>
      <c r="FG82" s="7">
        <v>280</v>
      </c>
      <c r="FH82" s="7">
        <v>70</v>
      </c>
      <c r="FI82" s="134">
        <v>76.427378965000003</v>
      </c>
      <c r="FJ82" s="134">
        <v>11.919866444</v>
      </c>
      <c r="FK82" s="134">
        <v>7.0784641068000003</v>
      </c>
      <c r="FL82" s="134">
        <v>4.5742904840999996</v>
      </c>
      <c r="FM82" s="151">
        <v>3457</v>
      </c>
      <c r="FN82" s="151">
        <v>1900</v>
      </c>
      <c r="FO82" s="7">
        <v>216</v>
      </c>
      <c r="FP82" s="7">
        <v>31</v>
      </c>
      <c r="FQ82" s="7">
        <v>7</v>
      </c>
      <c r="FR82" s="7">
        <v>0</v>
      </c>
      <c r="FS82" s="7">
        <v>3159</v>
      </c>
      <c r="FT82" s="7">
        <v>13</v>
      </c>
      <c r="FU82" s="7">
        <v>55</v>
      </c>
      <c r="FV82" s="7">
        <v>42</v>
      </c>
      <c r="FW82" s="7">
        <v>3743</v>
      </c>
      <c r="FX82" s="7">
        <v>1685</v>
      </c>
      <c r="FY82" s="7">
        <v>245</v>
      </c>
      <c r="FZ82" s="7">
        <v>21</v>
      </c>
      <c r="GA82" s="7">
        <v>9</v>
      </c>
      <c r="GB82" s="7">
        <v>1</v>
      </c>
      <c r="GC82" s="7">
        <v>3439</v>
      </c>
      <c r="GD82" s="7">
        <v>9</v>
      </c>
      <c r="GE82" s="7">
        <v>42</v>
      </c>
      <c r="GF82" s="7">
        <v>43</v>
      </c>
      <c r="GG82" s="7">
        <v>420</v>
      </c>
      <c r="GH82" s="7">
        <v>513</v>
      </c>
      <c r="GI82" s="7">
        <v>502</v>
      </c>
      <c r="GJ82" s="7">
        <v>414</v>
      </c>
      <c r="GK82" s="7">
        <v>248</v>
      </c>
      <c r="GL82" s="7">
        <v>237</v>
      </c>
      <c r="GM82" s="7">
        <v>215</v>
      </c>
      <c r="GN82" s="7">
        <v>207</v>
      </c>
      <c r="GO82" s="7">
        <v>152</v>
      </c>
      <c r="GP82" s="7">
        <v>126</v>
      </c>
      <c r="GQ82" s="7">
        <v>93</v>
      </c>
      <c r="GR82" s="7">
        <v>97</v>
      </c>
      <c r="GS82" s="7">
        <v>64</v>
      </c>
      <c r="GT82" s="7">
        <v>52</v>
      </c>
      <c r="GU82" s="7">
        <v>42</v>
      </c>
      <c r="GV82" s="7">
        <v>37</v>
      </c>
      <c r="GW82" s="7">
        <v>22</v>
      </c>
      <c r="GX82" s="7">
        <v>16</v>
      </c>
      <c r="GY82" s="7">
        <v>413</v>
      </c>
      <c r="GZ82" s="7">
        <v>478</v>
      </c>
      <c r="HA82" s="7">
        <v>518</v>
      </c>
      <c r="HB82" s="7">
        <v>370</v>
      </c>
      <c r="HC82" s="7">
        <v>302</v>
      </c>
      <c r="HD82" s="7">
        <v>275</v>
      </c>
      <c r="HE82" s="7">
        <v>290</v>
      </c>
      <c r="HF82" s="7">
        <v>260</v>
      </c>
      <c r="HG82" s="7">
        <v>177</v>
      </c>
      <c r="HH82" s="7">
        <v>148</v>
      </c>
      <c r="HI82" s="7">
        <v>136</v>
      </c>
      <c r="HJ82" s="7">
        <v>90</v>
      </c>
      <c r="HK82" s="7">
        <v>89</v>
      </c>
      <c r="HL82" s="7">
        <v>56</v>
      </c>
      <c r="HM82" s="7">
        <v>60</v>
      </c>
      <c r="HN82" s="7">
        <v>37</v>
      </c>
      <c r="HO82" s="7">
        <v>20</v>
      </c>
      <c r="HP82" s="7">
        <v>24</v>
      </c>
      <c r="HQ82" s="7">
        <v>2351</v>
      </c>
      <c r="HR82" s="7">
        <v>0</v>
      </c>
      <c r="HS82" s="7">
        <v>0</v>
      </c>
      <c r="HT82" s="7">
        <v>0</v>
      </c>
      <c r="HU82" s="7">
        <v>0</v>
      </c>
      <c r="HV82" s="7">
        <v>0</v>
      </c>
      <c r="HW82" s="7">
        <v>0</v>
      </c>
      <c r="HX82" s="7">
        <v>16</v>
      </c>
      <c r="HY82" s="7">
        <v>156</v>
      </c>
      <c r="HZ82" s="7">
        <v>286</v>
      </c>
      <c r="IA82" s="7">
        <v>382</v>
      </c>
      <c r="IB82" s="7">
        <v>434</v>
      </c>
      <c r="IC82" s="7">
        <v>401</v>
      </c>
      <c r="ID82" s="7">
        <v>254</v>
      </c>
      <c r="IE82" s="7">
        <v>185</v>
      </c>
      <c r="IF82" s="7">
        <v>124</v>
      </c>
      <c r="IG82" s="7">
        <v>142</v>
      </c>
      <c r="IH82" s="7">
        <v>273</v>
      </c>
      <c r="II82" s="7">
        <v>1073</v>
      </c>
      <c r="IJ82" s="7">
        <v>677</v>
      </c>
      <c r="IK82" s="7">
        <v>229</v>
      </c>
      <c r="IL82" s="7">
        <v>56</v>
      </c>
      <c r="IM82" s="7">
        <v>9</v>
      </c>
      <c r="IN82" s="7">
        <v>1</v>
      </c>
      <c r="IO82" s="7">
        <v>0</v>
      </c>
      <c r="IP82" s="7">
        <v>2</v>
      </c>
      <c r="IQ82" s="7">
        <v>1555</v>
      </c>
      <c r="IR82" s="7">
        <v>614</v>
      </c>
      <c r="IS82" s="7">
        <v>137</v>
      </c>
      <c r="IT82" s="7">
        <v>24</v>
      </c>
      <c r="IU82" s="7">
        <v>3</v>
      </c>
      <c r="IV82" s="7">
        <v>701</v>
      </c>
      <c r="IW82" s="7">
        <v>1460</v>
      </c>
      <c r="IX82" s="7">
        <v>11</v>
      </c>
      <c r="IY82" s="7">
        <v>35</v>
      </c>
      <c r="IZ82" s="7">
        <v>0</v>
      </c>
      <c r="JA82" s="7">
        <v>146</v>
      </c>
      <c r="JB82" s="7">
        <v>1186</v>
      </c>
      <c r="JC82" s="7">
        <v>742</v>
      </c>
      <c r="JD82" s="7">
        <v>25</v>
      </c>
      <c r="JE82" s="7">
        <v>226</v>
      </c>
      <c r="JF82" s="151">
        <v>2235.5807111893528</v>
      </c>
      <c r="JG82" s="151">
        <v>119.93038378593451</v>
      </c>
      <c r="JH82" s="7">
        <v>500</v>
      </c>
      <c r="JI82" s="7">
        <v>1808</v>
      </c>
      <c r="JJ82" s="7">
        <v>33</v>
      </c>
      <c r="JK82" s="7">
        <v>23</v>
      </c>
      <c r="JL82" s="7">
        <v>476</v>
      </c>
      <c r="JM82" s="7">
        <v>156</v>
      </c>
      <c r="JN82" s="7">
        <v>102</v>
      </c>
      <c r="JO82" s="7">
        <v>1121</v>
      </c>
      <c r="JP82" s="7">
        <v>1286</v>
      </c>
      <c r="JQ82" s="7">
        <v>55</v>
      </c>
      <c r="JR82" s="7">
        <v>13</v>
      </c>
      <c r="JS82" s="7">
        <v>318</v>
      </c>
      <c r="JT82" s="7">
        <v>8</v>
      </c>
      <c r="JU82" s="151">
        <v>118.40676729500612</v>
      </c>
      <c r="JV82" s="151">
        <v>1994.4139866252592</v>
      </c>
      <c r="JW82" s="151">
        <v>116.01251280926151</v>
      </c>
      <c r="JX82" s="151">
        <v>6.7474444598257159</v>
      </c>
      <c r="JY82" s="7">
        <v>2272</v>
      </c>
      <c r="JZ82" s="7">
        <v>10801</v>
      </c>
      <c r="KA82" s="7">
        <v>0</v>
      </c>
      <c r="KB82" s="7">
        <v>0</v>
      </c>
      <c r="KC82" s="7">
        <v>0</v>
      </c>
      <c r="KD82" s="7">
        <v>0</v>
      </c>
      <c r="KE82" s="7">
        <v>0</v>
      </c>
      <c r="KF82" s="7">
        <v>0</v>
      </c>
      <c r="KG82" s="7">
        <v>69</v>
      </c>
      <c r="KH82" s="7">
        <v>2048</v>
      </c>
      <c r="KI82" s="7">
        <v>8559</v>
      </c>
      <c r="KJ82" s="7">
        <v>150</v>
      </c>
      <c r="KK82" s="7">
        <v>104</v>
      </c>
      <c r="KL82" s="7">
        <v>544</v>
      </c>
      <c r="KM82" s="7">
        <v>9163</v>
      </c>
      <c r="KN82" s="7">
        <v>533</v>
      </c>
      <c r="KO82" s="7">
        <v>31</v>
      </c>
      <c r="KP82" s="7">
        <v>10271</v>
      </c>
      <c r="KQ82" s="7">
        <v>551</v>
      </c>
      <c r="KR82" s="7">
        <v>1899</v>
      </c>
      <c r="KS82" s="7">
        <v>1899</v>
      </c>
      <c r="KT82" s="7">
        <v>485</v>
      </c>
      <c r="KU82" s="7">
        <v>114</v>
      </c>
      <c r="KV82" s="7">
        <v>295</v>
      </c>
      <c r="KW82" s="7">
        <v>0</v>
      </c>
      <c r="KX82" s="7">
        <v>481</v>
      </c>
      <c r="KY82" s="7">
        <v>104</v>
      </c>
      <c r="KZ82" s="7">
        <v>244</v>
      </c>
      <c r="LA82" s="7">
        <v>0</v>
      </c>
      <c r="LB82" s="7">
        <v>1065</v>
      </c>
      <c r="LC82" s="7">
        <v>1081</v>
      </c>
      <c r="LD82" s="7">
        <v>703</v>
      </c>
      <c r="LE82" s="7">
        <v>1188</v>
      </c>
      <c r="LF82" s="7">
        <v>6518</v>
      </c>
      <c r="LG82" s="7">
        <v>24</v>
      </c>
      <c r="LH82" s="7">
        <v>1245</v>
      </c>
      <c r="LI82" s="7">
        <v>216</v>
      </c>
      <c r="LJ82" s="7">
        <v>542</v>
      </c>
      <c r="LK82" s="7">
        <v>0</v>
      </c>
      <c r="LL82" s="7">
        <v>347</v>
      </c>
      <c r="LM82" s="7">
        <v>68</v>
      </c>
      <c r="LN82" s="7">
        <v>24</v>
      </c>
      <c r="LO82" s="7">
        <v>1131</v>
      </c>
      <c r="LP82" s="7">
        <v>188</v>
      </c>
      <c r="LQ82" s="7">
        <v>431</v>
      </c>
      <c r="LR82" s="7">
        <v>1</v>
      </c>
      <c r="LS82" s="7">
        <v>294</v>
      </c>
      <c r="LT82" s="7">
        <v>46</v>
      </c>
      <c r="LU82" s="232">
        <v>4.7206652293999998</v>
      </c>
      <c r="LV82" s="232">
        <v>5.2157169692999998</v>
      </c>
      <c r="LW82" s="232">
        <v>4.2415151514999998</v>
      </c>
      <c r="LX82" s="7">
        <v>2364</v>
      </c>
      <c r="LY82" s="7">
        <v>10861</v>
      </c>
    </row>
    <row r="83" spans="1:337" x14ac:dyDescent="0.25">
      <c r="A83" t="s">
        <v>172</v>
      </c>
      <c r="B83" t="s">
        <v>173</v>
      </c>
      <c r="C83" s="7">
        <v>29357</v>
      </c>
      <c r="D83">
        <v>29813</v>
      </c>
      <c r="F83">
        <f t="shared" si="4"/>
        <v>-29813</v>
      </c>
      <c r="G83">
        <f t="shared" si="5"/>
        <v>-100</v>
      </c>
      <c r="H83">
        <v>14820</v>
      </c>
      <c r="I83">
        <v>14993</v>
      </c>
      <c r="J83">
        <v>14212</v>
      </c>
      <c r="K83">
        <v>15601</v>
      </c>
      <c r="L83" s="7">
        <v>1499</v>
      </c>
      <c r="M83" s="7">
        <v>1545</v>
      </c>
      <c r="N83" s="7">
        <v>1555</v>
      </c>
      <c r="O83" s="7">
        <v>1643</v>
      </c>
      <c r="P83" s="7">
        <v>1345</v>
      </c>
      <c r="Q83" s="7">
        <v>1107</v>
      </c>
      <c r="R83" s="7">
        <v>1052</v>
      </c>
      <c r="S83" s="7">
        <v>977</v>
      </c>
      <c r="T83" s="7">
        <v>823</v>
      </c>
      <c r="U83" s="7">
        <v>746</v>
      </c>
      <c r="V83" s="7">
        <v>676</v>
      </c>
      <c r="W83" s="7">
        <v>503</v>
      </c>
      <c r="X83" s="7">
        <v>372</v>
      </c>
      <c r="Y83" s="7">
        <v>908</v>
      </c>
      <c r="Z83" s="7">
        <v>69</v>
      </c>
      <c r="AA83" s="7">
        <v>1452</v>
      </c>
      <c r="AB83" s="7">
        <v>1415</v>
      </c>
      <c r="AC83" s="7">
        <v>1473</v>
      </c>
      <c r="AD83" s="7">
        <v>1708</v>
      </c>
      <c r="AE83" s="7">
        <v>1395</v>
      </c>
      <c r="AF83" s="7">
        <v>1249</v>
      </c>
      <c r="AG83" s="7">
        <v>1149</v>
      </c>
      <c r="AH83" s="7">
        <v>1071</v>
      </c>
      <c r="AI83" s="7">
        <v>901</v>
      </c>
      <c r="AJ83" s="7">
        <v>773</v>
      </c>
      <c r="AK83" s="7">
        <v>640</v>
      </c>
      <c r="AL83" s="7">
        <v>453</v>
      </c>
      <c r="AM83" s="7">
        <v>357</v>
      </c>
      <c r="AN83" s="7">
        <v>891</v>
      </c>
      <c r="AO83" s="7">
        <v>66</v>
      </c>
      <c r="AP83">
        <v>28285</v>
      </c>
      <c r="AQ83">
        <v>1322</v>
      </c>
      <c r="AR83">
        <v>10</v>
      </c>
      <c r="AS83">
        <v>5</v>
      </c>
      <c r="AT83">
        <v>191</v>
      </c>
      <c r="AU83" s="7">
        <v>316</v>
      </c>
      <c r="AV83" s="7">
        <v>181</v>
      </c>
      <c r="AW83" s="7">
        <v>135</v>
      </c>
      <c r="AX83" s="7">
        <v>482</v>
      </c>
      <c r="AY83" s="7">
        <v>316</v>
      </c>
      <c r="AZ83" s="7">
        <v>225</v>
      </c>
      <c r="BA83" s="7">
        <v>91</v>
      </c>
      <c r="BB83" s="7">
        <v>1</v>
      </c>
      <c r="BC83" s="7">
        <v>1</v>
      </c>
      <c r="BD83" s="7">
        <v>4</v>
      </c>
      <c r="BE83" s="7">
        <v>5</v>
      </c>
      <c r="BF83" s="7">
        <v>10</v>
      </c>
      <c r="BG83" s="7">
        <v>6</v>
      </c>
      <c r="BH83" s="7">
        <v>7</v>
      </c>
      <c r="BI83" s="7">
        <v>9</v>
      </c>
      <c r="BJ83" s="7">
        <v>14</v>
      </c>
      <c r="BK83" s="7">
        <v>8</v>
      </c>
      <c r="BL83" s="7">
        <v>21</v>
      </c>
      <c r="BM83" s="7">
        <v>15</v>
      </c>
      <c r="BN83" s="7">
        <v>21</v>
      </c>
      <c r="BO83" s="7">
        <v>13</v>
      </c>
      <c r="BP83" s="7">
        <v>16</v>
      </c>
      <c r="BQ83" s="7">
        <v>9</v>
      </c>
      <c r="BR83" s="7">
        <v>12</v>
      </c>
      <c r="BS83" s="7">
        <v>17</v>
      </c>
      <c r="BT83" s="7">
        <v>14</v>
      </c>
      <c r="BU83" s="7">
        <v>13</v>
      </c>
      <c r="BV83" s="7">
        <v>15</v>
      </c>
      <c r="BW83" s="7">
        <v>10</v>
      </c>
      <c r="BX83" s="7">
        <v>5</v>
      </c>
      <c r="BY83" s="7">
        <v>7</v>
      </c>
      <c r="BZ83" s="7">
        <v>15</v>
      </c>
      <c r="CA83" s="7">
        <v>3</v>
      </c>
      <c r="CB83" s="7">
        <v>26</v>
      </c>
      <c r="CC83" s="7">
        <v>19</v>
      </c>
      <c r="CD83" s="7">
        <v>149</v>
      </c>
      <c r="CE83" s="7">
        <v>102</v>
      </c>
      <c r="CF83" s="7">
        <v>5</v>
      </c>
      <c r="CG83" s="7">
        <v>1</v>
      </c>
      <c r="CH83" s="7">
        <v>5582</v>
      </c>
      <c r="CI83" s="7">
        <v>1587</v>
      </c>
      <c r="CJ83" s="7">
        <v>23762</v>
      </c>
      <c r="CK83" s="7">
        <v>5604</v>
      </c>
      <c r="CL83" s="7">
        <v>508</v>
      </c>
      <c r="CM83" s="7">
        <v>1065</v>
      </c>
      <c r="CN83" s="7">
        <v>1398</v>
      </c>
      <c r="CO83" s="7">
        <v>1553</v>
      </c>
      <c r="CP83" s="7">
        <v>1204</v>
      </c>
      <c r="CQ83" s="7">
        <v>1441</v>
      </c>
      <c r="CR83" s="7">
        <v>5178</v>
      </c>
      <c r="CS83" s="7">
        <v>13017</v>
      </c>
      <c r="CT83" s="7">
        <v>1889</v>
      </c>
      <c r="CU83" s="7">
        <v>544</v>
      </c>
      <c r="CV83" s="7">
        <v>334</v>
      </c>
      <c r="CW83" s="7">
        <v>1008</v>
      </c>
      <c r="CX83" s="7">
        <v>150</v>
      </c>
      <c r="CY83" s="7">
        <v>17995</v>
      </c>
      <c r="CZ83" s="7">
        <v>9879</v>
      </c>
      <c r="DA83" s="7">
        <v>507</v>
      </c>
      <c r="DB83" s="7">
        <v>508</v>
      </c>
      <c r="DC83" s="7">
        <v>72</v>
      </c>
      <c r="DD83" s="7">
        <v>4735</v>
      </c>
      <c r="DE83" s="7">
        <v>3245</v>
      </c>
      <c r="DF83" s="7">
        <v>7621</v>
      </c>
      <c r="DG83" s="7">
        <v>0</v>
      </c>
      <c r="DH83" s="7">
        <v>0</v>
      </c>
      <c r="DI83" s="7">
        <v>14212</v>
      </c>
      <c r="DJ83" s="7">
        <v>0</v>
      </c>
      <c r="DK83" s="7">
        <v>0</v>
      </c>
      <c r="DL83" s="7">
        <v>53</v>
      </c>
      <c r="DM83" s="7">
        <v>9</v>
      </c>
      <c r="DN83" s="7">
        <v>10</v>
      </c>
      <c r="DO83" s="7">
        <v>0</v>
      </c>
      <c r="DP83" s="7">
        <v>0</v>
      </c>
      <c r="DQ83" s="7">
        <v>1</v>
      </c>
      <c r="DR83" s="7">
        <v>0</v>
      </c>
      <c r="DS83" s="7">
        <v>0</v>
      </c>
      <c r="DT83" s="7">
        <v>158</v>
      </c>
      <c r="DU83" s="7">
        <v>119</v>
      </c>
      <c r="DV83" s="7">
        <v>82</v>
      </c>
      <c r="DW83" s="7">
        <v>57</v>
      </c>
      <c r="DX83" s="7">
        <v>28</v>
      </c>
      <c r="DY83" s="7">
        <v>19</v>
      </c>
      <c r="DZ83" s="7">
        <v>31</v>
      </c>
      <c r="EA83" s="7">
        <v>38</v>
      </c>
      <c r="EB83" s="7">
        <v>11</v>
      </c>
      <c r="EC83" s="7">
        <v>9</v>
      </c>
      <c r="ED83" s="7">
        <v>8</v>
      </c>
      <c r="EE83" s="7">
        <v>5</v>
      </c>
      <c r="EF83" s="7">
        <v>53</v>
      </c>
      <c r="EG83" s="7">
        <v>42</v>
      </c>
      <c r="EH83" s="7">
        <v>216</v>
      </c>
      <c r="EI83" s="7">
        <v>110</v>
      </c>
      <c r="EJ83" s="7">
        <v>35</v>
      </c>
      <c r="EK83" s="7">
        <v>49</v>
      </c>
      <c r="EL83" s="7">
        <v>15</v>
      </c>
      <c r="EM83" s="7">
        <v>9</v>
      </c>
      <c r="EN83" s="7">
        <v>62</v>
      </c>
      <c r="EO83" s="7">
        <v>8438</v>
      </c>
      <c r="EP83" s="7">
        <v>8277</v>
      </c>
      <c r="EQ83" s="7">
        <v>161</v>
      </c>
      <c r="ER83" s="7">
        <v>2606</v>
      </c>
      <c r="ES83" s="7">
        <v>2598</v>
      </c>
      <c r="ET83" s="7">
        <v>2556</v>
      </c>
      <c r="EU83" s="7">
        <v>42</v>
      </c>
      <c r="EV83" s="7">
        <v>8835</v>
      </c>
      <c r="EW83" s="134">
        <v>34.381931840999997</v>
      </c>
      <c r="EX83" s="134">
        <v>12.331115144</v>
      </c>
      <c r="EY83" s="134">
        <v>15.275257108</v>
      </c>
      <c r="EZ83" s="134">
        <v>37.729380923999997</v>
      </c>
      <c r="FA83" s="134">
        <v>0.28231498290000001</v>
      </c>
      <c r="FB83" s="7">
        <v>1674</v>
      </c>
      <c r="FC83" s="7">
        <v>3732</v>
      </c>
      <c r="FD83" s="7">
        <v>353</v>
      </c>
      <c r="FE83" s="7">
        <v>1723</v>
      </c>
      <c r="FF83" s="7">
        <v>25</v>
      </c>
      <c r="FG83" s="7">
        <v>1687</v>
      </c>
      <c r="FH83" s="7">
        <v>1816</v>
      </c>
      <c r="FI83" s="134">
        <v>23.169993949999999</v>
      </c>
      <c r="FJ83" s="134">
        <v>34.412179875</v>
      </c>
      <c r="FK83" s="134">
        <v>37.668884855999998</v>
      </c>
      <c r="FL83" s="134">
        <v>4.7489413188</v>
      </c>
      <c r="FM83" s="151">
        <v>10669</v>
      </c>
      <c r="FN83" s="151">
        <v>4067</v>
      </c>
      <c r="FO83" s="7">
        <v>951</v>
      </c>
      <c r="FP83" s="7">
        <v>546</v>
      </c>
      <c r="FQ83" s="7">
        <v>150</v>
      </c>
      <c r="FR83" s="7">
        <v>47</v>
      </c>
      <c r="FS83" s="7">
        <v>8636</v>
      </c>
      <c r="FT83" s="7">
        <v>305</v>
      </c>
      <c r="FU83" s="7">
        <v>65</v>
      </c>
      <c r="FV83" s="7">
        <v>84</v>
      </c>
      <c r="FW83" s="7">
        <v>11601</v>
      </c>
      <c r="FX83" s="7">
        <v>3310</v>
      </c>
      <c r="FY83" s="7">
        <v>1041</v>
      </c>
      <c r="FZ83" s="7">
        <v>682</v>
      </c>
      <c r="GA83" s="7">
        <v>201</v>
      </c>
      <c r="GB83" s="7">
        <v>48</v>
      </c>
      <c r="GC83" s="7">
        <v>9522</v>
      </c>
      <c r="GD83" s="7">
        <v>79</v>
      </c>
      <c r="GE83" s="7">
        <v>81</v>
      </c>
      <c r="GF83" s="7">
        <v>82</v>
      </c>
      <c r="GG83" s="7">
        <v>1175</v>
      </c>
      <c r="GH83" s="7">
        <v>1222</v>
      </c>
      <c r="GI83" s="7">
        <v>1242</v>
      </c>
      <c r="GJ83" s="7">
        <v>1144</v>
      </c>
      <c r="GK83" s="7">
        <v>752</v>
      </c>
      <c r="GL83" s="7">
        <v>733</v>
      </c>
      <c r="GM83" s="7">
        <v>757</v>
      </c>
      <c r="GN83" s="7">
        <v>690</v>
      </c>
      <c r="GO83" s="7">
        <v>572</v>
      </c>
      <c r="GP83" s="7">
        <v>546</v>
      </c>
      <c r="GQ83" s="7">
        <v>498</v>
      </c>
      <c r="GR83" s="7">
        <v>373</v>
      </c>
      <c r="GS83" s="7">
        <v>268</v>
      </c>
      <c r="GT83" s="7">
        <v>185</v>
      </c>
      <c r="GU83" s="7">
        <v>224</v>
      </c>
      <c r="GV83" s="7">
        <v>139</v>
      </c>
      <c r="GW83" s="7">
        <v>76</v>
      </c>
      <c r="GX83" s="7">
        <v>69</v>
      </c>
      <c r="GY83" s="7">
        <v>1146</v>
      </c>
      <c r="GZ83" s="7">
        <v>1118</v>
      </c>
      <c r="HA83" s="7">
        <v>1170</v>
      </c>
      <c r="HB83" s="7">
        <v>1239</v>
      </c>
      <c r="HC83" s="7">
        <v>974</v>
      </c>
      <c r="HD83" s="7">
        <v>966</v>
      </c>
      <c r="HE83" s="7">
        <v>921</v>
      </c>
      <c r="HF83" s="7">
        <v>850</v>
      </c>
      <c r="HG83" s="7">
        <v>720</v>
      </c>
      <c r="HH83" s="7">
        <v>612</v>
      </c>
      <c r="HI83" s="7">
        <v>515</v>
      </c>
      <c r="HJ83" s="7">
        <v>366</v>
      </c>
      <c r="HK83" s="7">
        <v>288</v>
      </c>
      <c r="HL83" s="7">
        <v>200</v>
      </c>
      <c r="HM83" s="7">
        <v>221</v>
      </c>
      <c r="HN83" s="7">
        <v>146</v>
      </c>
      <c r="HO83" s="7">
        <v>76</v>
      </c>
      <c r="HP83" s="7">
        <v>70</v>
      </c>
      <c r="HQ83" s="7">
        <v>7104</v>
      </c>
      <c r="HR83" s="7">
        <v>4</v>
      </c>
      <c r="HS83" s="7">
        <v>26</v>
      </c>
      <c r="HT83" s="7">
        <v>2</v>
      </c>
      <c r="HU83" s="7">
        <v>0</v>
      </c>
      <c r="HV83" s="7">
        <v>0</v>
      </c>
      <c r="HW83" s="7">
        <v>0</v>
      </c>
      <c r="HX83" s="7">
        <v>75</v>
      </c>
      <c r="HY83" s="7">
        <v>508</v>
      </c>
      <c r="HZ83" s="7">
        <v>1065</v>
      </c>
      <c r="IA83" s="7">
        <v>1398</v>
      </c>
      <c r="IB83" s="7">
        <v>1553</v>
      </c>
      <c r="IC83" s="7">
        <v>1204</v>
      </c>
      <c r="ID83" s="7">
        <v>714</v>
      </c>
      <c r="IE83" s="7">
        <v>309</v>
      </c>
      <c r="IF83" s="7">
        <v>174</v>
      </c>
      <c r="IG83" s="7">
        <v>244</v>
      </c>
      <c r="IH83" s="7">
        <v>907</v>
      </c>
      <c r="II83" s="7">
        <v>1333</v>
      </c>
      <c r="IJ83" s="7">
        <v>2011</v>
      </c>
      <c r="IK83" s="7">
        <v>1743</v>
      </c>
      <c r="IL83" s="7">
        <v>794</v>
      </c>
      <c r="IM83" s="7">
        <v>231</v>
      </c>
      <c r="IN83" s="7">
        <v>86</v>
      </c>
      <c r="IO83" s="7">
        <v>15</v>
      </c>
      <c r="IP83" s="7">
        <v>17</v>
      </c>
      <c r="IQ83" s="7">
        <v>3574</v>
      </c>
      <c r="IR83" s="7">
        <v>2542</v>
      </c>
      <c r="IS83" s="7">
        <v>820</v>
      </c>
      <c r="IT83" s="7">
        <v>171</v>
      </c>
      <c r="IU83" s="7">
        <v>36</v>
      </c>
      <c r="IV83" s="7">
        <v>4319</v>
      </c>
      <c r="IW83" s="7">
        <v>883</v>
      </c>
      <c r="IX83" s="7">
        <v>193</v>
      </c>
      <c r="IY83" s="7">
        <v>59</v>
      </c>
      <c r="IZ83" s="7">
        <v>17</v>
      </c>
      <c r="JA83" s="7">
        <v>1672</v>
      </c>
      <c r="JB83" s="7">
        <v>4263</v>
      </c>
      <c r="JC83" s="7">
        <v>1693</v>
      </c>
      <c r="JD83" s="7">
        <v>353</v>
      </c>
      <c r="JE83" s="7">
        <v>467</v>
      </c>
      <c r="JF83" s="151">
        <v>6681.7243487210735</v>
      </c>
      <c r="JG83" s="151">
        <v>468.96574621458467</v>
      </c>
      <c r="JH83" s="7">
        <v>466</v>
      </c>
      <c r="JI83" s="7">
        <v>5790</v>
      </c>
      <c r="JJ83" s="7">
        <v>888</v>
      </c>
      <c r="JK83" s="7">
        <v>25</v>
      </c>
      <c r="JL83" s="7">
        <v>5058</v>
      </c>
      <c r="JM83" s="7">
        <v>2576</v>
      </c>
      <c r="JN83" s="7">
        <v>1220</v>
      </c>
      <c r="JO83" s="7">
        <v>4485</v>
      </c>
      <c r="JP83" s="7">
        <v>5983</v>
      </c>
      <c r="JQ83" s="7">
        <v>788</v>
      </c>
      <c r="JR83" s="7">
        <v>777</v>
      </c>
      <c r="JS83" s="7">
        <v>3246</v>
      </c>
      <c r="JT83" s="7">
        <v>329</v>
      </c>
      <c r="JU83" s="151">
        <v>1916.3878749528837</v>
      </c>
      <c r="JV83" s="151">
        <v>4672.080401381947</v>
      </c>
      <c r="JW83" s="151">
        <v>70.796494743482327</v>
      </c>
      <c r="JX83" s="151">
        <v>22.459577642759911</v>
      </c>
      <c r="JY83" s="7">
        <v>6954</v>
      </c>
      <c r="JZ83" s="7">
        <v>29132</v>
      </c>
      <c r="KA83" s="7">
        <v>19</v>
      </c>
      <c r="KB83" s="7">
        <v>81</v>
      </c>
      <c r="KC83" s="7">
        <v>8</v>
      </c>
      <c r="KD83" s="7">
        <v>0</v>
      </c>
      <c r="KE83" s="7">
        <v>0</v>
      </c>
      <c r="KF83" s="7">
        <v>0</v>
      </c>
      <c r="KG83" s="7">
        <v>252</v>
      </c>
      <c r="KH83" s="7">
        <v>1959</v>
      </c>
      <c r="KI83" s="7">
        <v>23966</v>
      </c>
      <c r="KJ83" s="7">
        <v>3338</v>
      </c>
      <c r="KK83" s="7">
        <v>103</v>
      </c>
      <c r="KL83" s="7">
        <v>7850</v>
      </c>
      <c r="KM83" s="7">
        <v>19138</v>
      </c>
      <c r="KN83" s="7">
        <v>290</v>
      </c>
      <c r="KO83" s="7">
        <v>92</v>
      </c>
      <c r="KP83" s="7">
        <v>27370</v>
      </c>
      <c r="KQ83" s="7">
        <v>1921</v>
      </c>
      <c r="KR83" s="7">
        <v>4640</v>
      </c>
      <c r="KS83" s="7">
        <v>4640</v>
      </c>
      <c r="KT83" s="7">
        <v>834</v>
      </c>
      <c r="KU83" s="7">
        <v>317</v>
      </c>
      <c r="KV83" s="7">
        <v>889</v>
      </c>
      <c r="KW83" s="7">
        <v>2</v>
      </c>
      <c r="KX83" s="7">
        <v>837</v>
      </c>
      <c r="KY83" s="7">
        <v>288</v>
      </c>
      <c r="KZ83" s="7">
        <v>866</v>
      </c>
      <c r="LA83" s="7">
        <v>2</v>
      </c>
      <c r="LB83" s="7">
        <v>2267</v>
      </c>
      <c r="LC83" s="7">
        <v>2118</v>
      </c>
      <c r="LD83" s="7">
        <v>1391</v>
      </c>
      <c r="LE83" s="7">
        <v>2000</v>
      </c>
      <c r="LF83" s="7">
        <v>20739</v>
      </c>
      <c r="LG83" s="7">
        <v>35</v>
      </c>
      <c r="LH83" s="7">
        <v>3273</v>
      </c>
      <c r="LI83" s="7">
        <v>556</v>
      </c>
      <c r="LJ83" s="7">
        <v>1635</v>
      </c>
      <c r="LK83" s="7">
        <v>10</v>
      </c>
      <c r="LL83" s="7">
        <v>1760</v>
      </c>
      <c r="LM83" s="7">
        <v>1246</v>
      </c>
      <c r="LN83" s="7">
        <v>40</v>
      </c>
      <c r="LO83" s="7">
        <v>3214</v>
      </c>
      <c r="LP83" s="7">
        <v>496</v>
      </c>
      <c r="LQ83" s="7">
        <v>1639</v>
      </c>
      <c r="LR83" s="7">
        <v>34</v>
      </c>
      <c r="LS83" s="7">
        <v>1753</v>
      </c>
      <c r="LT83" s="7">
        <v>1242</v>
      </c>
      <c r="LU83" s="232">
        <v>7.0702451313000001</v>
      </c>
      <c r="LV83" s="232">
        <v>7.2464112464000001</v>
      </c>
      <c r="LW83" s="232">
        <v>6.9014325017000004</v>
      </c>
      <c r="LX83" s="7">
        <v>7169</v>
      </c>
      <c r="LY83" s="7">
        <v>29366</v>
      </c>
    </row>
    <row r="84" spans="1:337" x14ac:dyDescent="0.25">
      <c r="A84" t="s">
        <v>174</v>
      </c>
      <c r="B84" t="s">
        <v>175</v>
      </c>
      <c r="C84" s="7">
        <v>46949</v>
      </c>
      <c r="D84">
        <v>50079</v>
      </c>
      <c r="F84">
        <f t="shared" si="4"/>
        <v>-50079</v>
      </c>
      <c r="G84">
        <f t="shared" si="5"/>
        <v>-100</v>
      </c>
      <c r="H84">
        <v>24803</v>
      </c>
      <c r="I84">
        <v>25276</v>
      </c>
      <c r="J84">
        <v>16917</v>
      </c>
      <c r="K84">
        <v>33162</v>
      </c>
      <c r="L84" s="7">
        <v>2500</v>
      </c>
      <c r="M84" s="7">
        <v>2633</v>
      </c>
      <c r="N84" s="7">
        <v>2824</v>
      </c>
      <c r="O84" s="7">
        <v>2857</v>
      </c>
      <c r="P84" s="7">
        <v>1819</v>
      </c>
      <c r="Q84" s="7">
        <v>1571</v>
      </c>
      <c r="R84" s="7">
        <v>1566</v>
      </c>
      <c r="S84" s="7">
        <v>1593</v>
      </c>
      <c r="T84" s="7">
        <v>1417</v>
      </c>
      <c r="U84" s="7">
        <v>1246</v>
      </c>
      <c r="V84" s="7">
        <v>1131</v>
      </c>
      <c r="W84" s="7">
        <v>969</v>
      </c>
      <c r="X84" s="7">
        <v>800</v>
      </c>
      <c r="Y84" s="7">
        <v>1865</v>
      </c>
      <c r="Z84" s="7">
        <v>12</v>
      </c>
      <c r="AA84" s="7">
        <v>2421</v>
      </c>
      <c r="AB84" s="7">
        <v>2595</v>
      </c>
      <c r="AC84" s="7">
        <v>2665</v>
      </c>
      <c r="AD84" s="7">
        <v>2850</v>
      </c>
      <c r="AE84" s="7">
        <v>2056</v>
      </c>
      <c r="AF84" s="7">
        <v>1858</v>
      </c>
      <c r="AG84" s="7">
        <v>1730</v>
      </c>
      <c r="AH84" s="7">
        <v>1817</v>
      </c>
      <c r="AI84" s="7">
        <v>1482</v>
      </c>
      <c r="AJ84" s="7">
        <v>1307</v>
      </c>
      <c r="AK84" s="7">
        <v>1127</v>
      </c>
      <c r="AL84" s="7">
        <v>893</v>
      </c>
      <c r="AM84" s="7">
        <v>750</v>
      </c>
      <c r="AN84" s="7">
        <v>1710</v>
      </c>
      <c r="AO84" s="7">
        <v>15</v>
      </c>
      <c r="AP84">
        <v>48384</v>
      </c>
      <c r="AQ84">
        <v>1345</v>
      </c>
      <c r="AR84">
        <v>100</v>
      </c>
      <c r="AS84">
        <v>88</v>
      </c>
      <c r="AT84">
        <v>162</v>
      </c>
      <c r="AU84" s="7">
        <v>338</v>
      </c>
      <c r="AV84" s="7">
        <v>175</v>
      </c>
      <c r="AW84" s="7">
        <v>163</v>
      </c>
      <c r="AX84" s="7">
        <v>523</v>
      </c>
      <c r="AY84" s="7">
        <v>338</v>
      </c>
      <c r="AZ84" s="7">
        <v>288</v>
      </c>
      <c r="BA84" s="7">
        <v>50</v>
      </c>
      <c r="BB84" s="7">
        <v>9</v>
      </c>
      <c r="BC84" s="7">
        <v>5</v>
      </c>
      <c r="BD84" s="7">
        <v>15</v>
      </c>
      <c r="BE84" s="7">
        <v>23</v>
      </c>
      <c r="BF84" s="7">
        <v>17</v>
      </c>
      <c r="BG84" s="7">
        <v>23</v>
      </c>
      <c r="BH84" s="7">
        <v>20</v>
      </c>
      <c r="BI84" s="7">
        <v>17</v>
      </c>
      <c r="BJ84" s="7">
        <v>11</v>
      </c>
      <c r="BK84" s="7">
        <v>14</v>
      </c>
      <c r="BL84" s="7">
        <v>8</v>
      </c>
      <c r="BM84" s="7">
        <v>15</v>
      </c>
      <c r="BN84" s="7">
        <v>16</v>
      </c>
      <c r="BO84" s="7">
        <v>9</v>
      </c>
      <c r="BP84" s="7">
        <v>13</v>
      </c>
      <c r="BQ84" s="7">
        <v>9</v>
      </c>
      <c r="BR84" s="7">
        <v>12</v>
      </c>
      <c r="BS84" s="7">
        <v>8</v>
      </c>
      <c r="BT84" s="7">
        <v>7</v>
      </c>
      <c r="BU84" s="7">
        <v>4</v>
      </c>
      <c r="BV84" s="7">
        <v>10</v>
      </c>
      <c r="BW84" s="7">
        <v>8</v>
      </c>
      <c r="BX84" s="7">
        <v>11</v>
      </c>
      <c r="BY84" s="7">
        <v>8</v>
      </c>
      <c r="BZ84" s="7">
        <v>6</v>
      </c>
      <c r="CA84" s="7">
        <v>4</v>
      </c>
      <c r="CB84" s="7">
        <v>20</v>
      </c>
      <c r="CC84" s="7">
        <v>16</v>
      </c>
      <c r="CD84" s="7">
        <v>133</v>
      </c>
      <c r="CE84" s="7">
        <v>109</v>
      </c>
      <c r="CF84" s="7">
        <v>14</v>
      </c>
      <c r="CG84" s="7">
        <v>36</v>
      </c>
      <c r="CH84" s="7">
        <v>9888</v>
      </c>
      <c r="CI84" s="7">
        <v>2911</v>
      </c>
      <c r="CJ84" s="7">
        <v>40057</v>
      </c>
      <c r="CK84" s="7">
        <v>9932</v>
      </c>
      <c r="CL84" s="7">
        <v>1113</v>
      </c>
      <c r="CM84" s="7">
        <v>2098</v>
      </c>
      <c r="CN84" s="7">
        <v>2434</v>
      </c>
      <c r="CO84" s="7">
        <v>2853</v>
      </c>
      <c r="CP84" s="7">
        <v>2070</v>
      </c>
      <c r="CQ84" s="7">
        <v>2231</v>
      </c>
      <c r="CR84" s="7">
        <v>9197</v>
      </c>
      <c r="CS84" s="7">
        <v>20144</v>
      </c>
      <c r="CT84" s="7">
        <v>4328</v>
      </c>
      <c r="CU84" s="7">
        <v>1121</v>
      </c>
      <c r="CV84" s="7">
        <v>441</v>
      </c>
      <c r="CW84" s="7">
        <v>1555</v>
      </c>
      <c r="CX84" s="7">
        <v>259</v>
      </c>
      <c r="CY84" s="7">
        <v>28864</v>
      </c>
      <c r="CZ84" s="7">
        <v>18491</v>
      </c>
      <c r="DA84" s="7">
        <v>753</v>
      </c>
      <c r="DB84" s="7">
        <v>1113</v>
      </c>
      <c r="DC84" s="7">
        <v>75</v>
      </c>
      <c r="DD84" s="7">
        <v>9645</v>
      </c>
      <c r="DE84" s="7">
        <v>7147</v>
      </c>
      <c r="DF84" s="7">
        <v>16370</v>
      </c>
      <c r="DG84" s="7">
        <v>0</v>
      </c>
      <c r="DH84" s="7">
        <v>0</v>
      </c>
      <c r="DI84" s="7">
        <v>16917</v>
      </c>
      <c r="DJ84" s="7">
        <v>0</v>
      </c>
      <c r="DK84" s="7">
        <v>0</v>
      </c>
      <c r="DL84" s="7">
        <v>752</v>
      </c>
      <c r="DM84" s="7">
        <v>20</v>
      </c>
      <c r="DN84" s="7">
        <v>15</v>
      </c>
      <c r="DO84" s="7">
        <v>0</v>
      </c>
      <c r="DP84" s="7">
        <v>0</v>
      </c>
      <c r="DQ84" s="7">
        <v>1</v>
      </c>
      <c r="DR84" s="7">
        <v>0</v>
      </c>
      <c r="DS84" s="7">
        <v>0</v>
      </c>
      <c r="DT84" s="7">
        <v>487</v>
      </c>
      <c r="DU84" s="7">
        <v>543</v>
      </c>
      <c r="DV84" s="7">
        <v>350</v>
      </c>
      <c r="DW84" s="7">
        <v>323</v>
      </c>
      <c r="DX84" s="7">
        <v>132</v>
      </c>
      <c r="DY84" s="7">
        <v>94</v>
      </c>
      <c r="DZ84" s="7">
        <v>137</v>
      </c>
      <c r="EA84" s="7">
        <v>109</v>
      </c>
      <c r="EB84" s="7">
        <v>44</v>
      </c>
      <c r="EC84" s="7">
        <v>62</v>
      </c>
      <c r="ED84" s="7">
        <v>40</v>
      </c>
      <c r="EE84" s="7">
        <v>34</v>
      </c>
      <c r="EF84" s="7">
        <v>101</v>
      </c>
      <c r="EG84" s="7">
        <v>103</v>
      </c>
      <c r="EH84" s="7">
        <v>743</v>
      </c>
      <c r="EI84" s="7">
        <v>489</v>
      </c>
      <c r="EJ84" s="7">
        <v>156</v>
      </c>
      <c r="EK84" s="7">
        <v>160</v>
      </c>
      <c r="EL84" s="7">
        <v>74</v>
      </c>
      <c r="EM84" s="7">
        <v>54</v>
      </c>
      <c r="EN84" s="7">
        <v>105</v>
      </c>
      <c r="EO84" s="7">
        <v>14090</v>
      </c>
      <c r="EP84" s="7">
        <v>13912</v>
      </c>
      <c r="EQ84" s="7">
        <v>178</v>
      </c>
      <c r="ER84" s="7">
        <v>4334</v>
      </c>
      <c r="ES84" s="7">
        <v>3619</v>
      </c>
      <c r="ET84" s="7">
        <v>3576</v>
      </c>
      <c r="EU84" s="7">
        <v>43</v>
      </c>
      <c r="EV84" s="7">
        <v>15437</v>
      </c>
      <c r="EW84" s="134">
        <v>53.661444142000001</v>
      </c>
      <c r="EX84" s="134">
        <v>10.984332425</v>
      </c>
      <c r="EY84" s="134">
        <v>12.108310627</v>
      </c>
      <c r="EZ84" s="134">
        <v>22.349000908000001</v>
      </c>
      <c r="FA84" s="134">
        <v>0.89691189829999995</v>
      </c>
      <c r="FB84" s="7">
        <v>2239</v>
      </c>
      <c r="FC84" s="7">
        <v>7635</v>
      </c>
      <c r="FD84" s="7">
        <v>942</v>
      </c>
      <c r="FE84" s="7">
        <v>3189</v>
      </c>
      <c r="FF84" s="7">
        <v>22</v>
      </c>
      <c r="FG84" s="7">
        <v>2303</v>
      </c>
      <c r="FH84" s="7">
        <v>1334</v>
      </c>
      <c r="FI84" s="134">
        <v>33.424159854999999</v>
      </c>
      <c r="FJ84" s="134">
        <v>45.742506812000002</v>
      </c>
      <c r="FK84" s="134">
        <v>17.279745685999998</v>
      </c>
      <c r="FL84" s="134">
        <v>3.5535876476000001</v>
      </c>
      <c r="FM84" s="151">
        <v>15678</v>
      </c>
      <c r="FN84" s="151">
        <v>9062</v>
      </c>
      <c r="FO84" s="7">
        <v>1313</v>
      </c>
      <c r="FP84" s="7">
        <v>459</v>
      </c>
      <c r="FQ84" s="7">
        <v>125</v>
      </c>
      <c r="FR84" s="7">
        <v>24</v>
      </c>
      <c r="FS84" s="7">
        <v>13450</v>
      </c>
      <c r="FT84" s="7">
        <v>40</v>
      </c>
      <c r="FU84" s="7">
        <v>354</v>
      </c>
      <c r="FV84" s="7">
        <v>63</v>
      </c>
      <c r="FW84" s="7">
        <v>17350</v>
      </c>
      <c r="FX84" s="7">
        <v>7862</v>
      </c>
      <c r="FY84" s="7">
        <v>1381</v>
      </c>
      <c r="FZ84" s="7">
        <v>483</v>
      </c>
      <c r="GA84" s="7">
        <v>135</v>
      </c>
      <c r="GB84" s="7">
        <v>24</v>
      </c>
      <c r="GC84" s="7">
        <v>15069</v>
      </c>
      <c r="GD84" s="7">
        <v>33</v>
      </c>
      <c r="GE84" s="7">
        <v>321</v>
      </c>
      <c r="GF84" s="7">
        <v>64</v>
      </c>
      <c r="GG84" s="7">
        <v>1510</v>
      </c>
      <c r="GH84" s="7">
        <v>1748</v>
      </c>
      <c r="GI84" s="7">
        <v>1972</v>
      </c>
      <c r="GJ84" s="7">
        <v>1841</v>
      </c>
      <c r="GK84" s="7">
        <v>939</v>
      </c>
      <c r="GL84" s="7">
        <v>862</v>
      </c>
      <c r="GM84" s="7">
        <v>934</v>
      </c>
      <c r="GN84" s="7">
        <v>983</v>
      </c>
      <c r="GO84" s="7">
        <v>941</v>
      </c>
      <c r="GP84" s="7">
        <v>806</v>
      </c>
      <c r="GQ84" s="7">
        <v>733</v>
      </c>
      <c r="GR84" s="7">
        <v>636</v>
      </c>
      <c r="GS84" s="7">
        <v>521</v>
      </c>
      <c r="GT84" s="7">
        <v>404</v>
      </c>
      <c r="GU84" s="7">
        <v>358</v>
      </c>
      <c r="GV84" s="7">
        <v>246</v>
      </c>
      <c r="GW84" s="7">
        <v>137</v>
      </c>
      <c r="GX84" s="7">
        <v>105</v>
      </c>
      <c r="GY84" s="7">
        <v>1462</v>
      </c>
      <c r="GZ84" s="7">
        <v>1768</v>
      </c>
      <c r="HA84" s="7">
        <v>1868</v>
      </c>
      <c r="HB84" s="7">
        <v>1905</v>
      </c>
      <c r="HC84" s="7">
        <v>1237</v>
      </c>
      <c r="HD84" s="7">
        <v>1242</v>
      </c>
      <c r="HE84" s="7">
        <v>1192</v>
      </c>
      <c r="HF84" s="7">
        <v>1322</v>
      </c>
      <c r="HG84" s="7">
        <v>1069</v>
      </c>
      <c r="HH84" s="7">
        <v>987</v>
      </c>
      <c r="HI84" s="7">
        <v>836</v>
      </c>
      <c r="HJ84" s="7">
        <v>652</v>
      </c>
      <c r="HK84" s="7">
        <v>557</v>
      </c>
      <c r="HL84" s="7">
        <v>471</v>
      </c>
      <c r="HM84" s="7">
        <v>353</v>
      </c>
      <c r="HN84" s="7">
        <v>195</v>
      </c>
      <c r="HO84" s="7">
        <v>123</v>
      </c>
      <c r="HP84" s="7">
        <v>108</v>
      </c>
      <c r="HQ84" s="7">
        <v>12599</v>
      </c>
      <c r="HR84" s="7">
        <v>2</v>
      </c>
      <c r="HS84" s="7">
        <v>119</v>
      </c>
      <c r="HT84" s="7">
        <v>1</v>
      </c>
      <c r="HU84" s="7">
        <v>0</v>
      </c>
      <c r="HV84" s="7">
        <v>3</v>
      </c>
      <c r="HW84" s="7">
        <v>0</v>
      </c>
      <c r="HX84" s="7">
        <v>81</v>
      </c>
      <c r="HY84" s="7">
        <v>1113</v>
      </c>
      <c r="HZ84" s="7">
        <v>2096</v>
      </c>
      <c r="IA84" s="7">
        <v>2434</v>
      </c>
      <c r="IB84" s="7">
        <v>2852</v>
      </c>
      <c r="IC84" s="7">
        <v>2070</v>
      </c>
      <c r="ID84" s="7">
        <v>1188</v>
      </c>
      <c r="IE84" s="7">
        <v>500</v>
      </c>
      <c r="IF84" s="7">
        <v>251</v>
      </c>
      <c r="IG84" s="7">
        <v>292</v>
      </c>
      <c r="IH84" s="7">
        <v>1674</v>
      </c>
      <c r="II84" s="7">
        <v>4114</v>
      </c>
      <c r="IJ84" s="7">
        <v>3696</v>
      </c>
      <c r="IK84" s="7">
        <v>2125</v>
      </c>
      <c r="IL84" s="7">
        <v>795</v>
      </c>
      <c r="IM84" s="7">
        <v>248</v>
      </c>
      <c r="IN84" s="7">
        <v>49</v>
      </c>
      <c r="IO84" s="7">
        <v>23</v>
      </c>
      <c r="IP84" s="7">
        <v>16</v>
      </c>
      <c r="IQ84" s="7">
        <v>6500</v>
      </c>
      <c r="IR84" s="7">
        <v>4528</v>
      </c>
      <c r="IS84" s="7">
        <v>1475</v>
      </c>
      <c r="IT84" s="7">
        <v>223</v>
      </c>
      <c r="IU84" s="7">
        <v>30</v>
      </c>
      <c r="IV84" s="7">
        <v>3307</v>
      </c>
      <c r="IW84" s="7">
        <v>1571</v>
      </c>
      <c r="IX84" s="7">
        <v>1074</v>
      </c>
      <c r="IY84" s="7">
        <v>164</v>
      </c>
      <c r="IZ84" s="7">
        <v>49</v>
      </c>
      <c r="JA84" s="7">
        <v>6542</v>
      </c>
      <c r="JB84" s="7">
        <v>4846</v>
      </c>
      <c r="JC84" s="7">
        <v>7085</v>
      </c>
      <c r="JD84" s="7">
        <v>16</v>
      </c>
      <c r="JE84" s="7">
        <v>7</v>
      </c>
      <c r="JF84" s="151">
        <v>12083.121676648669</v>
      </c>
      <c r="JG84" s="151">
        <v>676.44793655215358</v>
      </c>
      <c r="JH84" s="7">
        <v>1351</v>
      </c>
      <c r="JI84" s="7">
        <v>10752</v>
      </c>
      <c r="JJ84" s="7">
        <v>611</v>
      </c>
      <c r="JK84" s="7">
        <v>82</v>
      </c>
      <c r="JL84" s="7">
        <v>9626</v>
      </c>
      <c r="JM84" s="7">
        <v>6549</v>
      </c>
      <c r="JN84" s="7">
        <v>1996</v>
      </c>
      <c r="JO84" s="7">
        <v>8838</v>
      </c>
      <c r="JP84" s="7">
        <v>10743</v>
      </c>
      <c r="JQ84" s="7">
        <v>882</v>
      </c>
      <c r="JR84" s="7">
        <v>1746</v>
      </c>
      <c r="JS84" s="7">
        <v>5485</v>
      </c>
      <c r="JT84" s="7">
        <v>370</v>
      </c>
      <c r="JU84" s="151">
        <v>1615.3330930005818</v>
      </c>
      <c r="JV84" s="151">
        <v>10293.17181880003</v>
      </c>
      <c r="JW84" s="151">
        <v>120.33706668414541</v>
      </c>
      <c r="JX84" s="151">
        <v>54.2796981639124</v>
      </c>
      <c r="JY84" s="7">
        <v>12324</v>
      </c>
      <c r="JZ84" s="7">
        <v>49369</v>
      </c>
      <c r="KA84" s="7">
        <v>9</v>
      </c>
      <c r="KB84" s="7">
        <v>354</v>
      </c>
      <c r="KC84" s="7">
        <v>4</v>
      </c>
      <c r="KD84" s="7">
        <v>0</v>
      </c>
      <c r="KE84" s="7">
        <v>8</v>
      </c>
      <c r="KF84" s="7">
        <v>0</v>
      </c>
      <c r="KG84" s="7">
        <v>263</v>
      </c>
      <c r="KH84" s="7">
        <v>5544</v>
      </c>
      <c r="KI84" s="7">
        <v>41837</v>
      </c>
      <c r="KJ84" s="7">
        <v>2302</v>
      </c>
      <c r="KK84" s="7">
        <v>298</v>
      </c>
      <c r="KL84" s="7">
        <v>6309</v>
      </c>
      <c r="KM84" s="7">
        <v>40202</v>
      </c>
      <c r="KN84" s="7">
        <v>470</v>
      </c>
      <c r="KO84" s="7">
        <v>212</v>
      </c>
      <c r="KP84" s="7">
        <v>47193</v>
      </c>
      <c r="KQ84" s="7">
        <v>2642</v>
      </c>
      <c r="KR84" s="7">
        <v>7545</v>
      </c>
      <c r="KS84" s="7">
        <v>7545</v>
      </c>
      <c r="KT84" s="7">
        <v>1395</v>
      </c>
      <c r="KU84" s="7">
        <v>552</v>
      </c>
      <c r="KV84" s="7">
        <v>1471</v>
      </c>
      <c r="KW84" s="7">
        <v>1</v>
      </c>
      <c r="KX84" s="7">
        <v>1401</v>
      </c>
      <c r="KY84" s="7">
        <v>516</v>
      </c>
      <c r="KZ84" s="7">
        <v>1393</v>
      </c>
      <c r="LA84" s="7">
        <v>3</v>
      </c>
      <c r="LB84" s="7">
        <v>4120</v>
      </c>
      <c r="LC84" s="7">
        <v>4007</v>
      </c>
      <c r="LD84" s="7">
        <v>2255</v>
      </c>
      <c r="LE84" s="7">
        <v>3118</v>
      </c>
      <c r="LF84" s="7">
        <v>34414</v>
      </c>
      <c r="LG84" s="7">
        <v>91</v>
      </c>
      <c r="LH84" s="7">
        <v>6849</v>
      </c>
      <c r="LI84" s="7">
        <v>1199</v>
      </c>
      <c r="LJ84" s="7">
        <v>2915</v>
      </c>
      <c r="LK84" s="7">
        <v>14</v>
      </c>
      <c r="LL84" s="7">
        <v>2473</v>
      </c>
      <c r="LM84" s="7">
        <v>1066</v>
      </c>
      <c r="LN84" s="7">
        <v>69</v>
      </c>
      <c r="LO84" s="7">
        <v>7132</v>
      </c>
      <c r="LP84" s="7">
        <v>1140</v>
      </c>
      <c r="LQ84" s="7">
        <v>2965</v>
      </c>
      <c r="LR84" s="7">
        <v>28</v>
      </c>
      <c r="LS84" s="7">
        <v>2501</v>
      </c>
      <c r="LT84" s="7">
        <v>839</v>
      </c>
      <c r="LU84" s="232">
        <v>6.1886808983000003</v>
      </c>
      <c r="LV84" s="232">
        <v>6.3954947419000003</v>
      </c>
      <c r="LW84" s="232">
        <v>5.9909750386000002</v>
      </c>
      <c r="LX84" s="7">
        <v>12796</v>
      </c>
      <c r="LY84" s="7">
        <v>49981</v>
      </c>
    </row>
    <row r="85" spans="1:337" x14ac:dyDescent="0.25">
      <c r="A85" t="s">
        <v>180</v>
      </c>
      <c r="B85" t="s">
        <v>181</v>
      </c>
      <c r="C85" s="7">
        <v>24405</v>
      </c>
      <c r="D85">
        <v>31075</v>
      </c>
      <c r="F85">
        <f t="shared" si="4"/>
        <v>-31075</v>
      </c>
      <c r="G85">
        <f t="shared" si="5"/>
        <v>-100</v>
      </c>
      <c r="H85">
        <v>15104</v>
      </c>
      <c r="I85">
        <v>15971</v>
      </c>
      <c r="J85">
        <v>15635</v>
      </c>
      <c r="K85">
        <v>15440</v>
      </c>
      <c r="L85" s="7">
        <v>2151</v>
      </c>
      <c r="M85" s="7">
        <v>2118</v>
      </c>
      <c r="N85" s="7">
        <v>2166</v>
      </c>
      <c r="O85" s="7">
        <v>1801</v>
      </c>
      <c r="P85" s="7">
        <v>1408</v>
      </c>
      <c r="Q85" s="7">
        <v>1029</v>
      </c>
      <c r="R85" s="7">
        <v>914</v>
      </c>
      <c r="S85" s="7">
        <v>723</v>
      </c>
      <c r="T85" s="7">
        <v>578</v>
      </c>
      <c r="U85" s="7">
        <v>475</v>
      </c>
      <c r="V85" s="7">
        <v>398</v>
      </c>
      <c r="W85" s="7">
        <v>331</v>
      </c>
      <c r="X85" s="7">
        <v>246</v>
      </c>
      <c r="Y85" s="7">
        <v>480</v>
      </c>
      <c r="Z85" s="7">
        <v>286</v>
      </c>
      <c r="AA85" s="7">
        <v>2169</v>
      </c>
      <c r="AB85" s="7">
        <v>2194</v>
      </c>
      <c r="AC85" s="7">
        <v>2133</v>
      </c>
      <c r="AD85" s="7">
        <v>1850</v>
      </c>
      <c r="AE85" s="7">
        <v>1575</v>
      </c>
      <c r="AF85" s="7">
        <v>1187</v>
      </c>
      <c r="AG85" s="7">
        <v>954</v>
      </c>
      <c r="AH85" s="7">
        <v>878</v>
      </c>
      <c r="AI85" s="7">
        <v>634</v>
      </c>
      <c r="AJ85" s="7">
        <v>547</v>
      </c>
      <c r="AK85" s="7">
        <v>401</v>
      </c>
      <c r="AL85" s="7">
        <v>342</v>
      </c>
      <c r="AM85" s="7">
        <v>257</v>
      </c>
      <c r="AN85" s="7">
        <v>559</v>
      </c>
      <c r="AO85" s="7">
        <v>291</v>
      </c>
      <c r="AP85">
        <v>30180</v>
      </c>
      <c r="AQ85">
        <v>257</v>
      </c>
      <c r="AR85">
        <v>12</v>
      </c>
      <c r="AS85">
        <v>8</v>
      </c>
      <c r="AT85">
        <v>618</v>
      </c>
      <c r="AU85" s="7">
        <v>13620</v>
      </c>
      <c r="AV85" s="7">
        <v>6609</v>
      </c>
      <c r="AW85" s="7">
        <v>7011</v>
      </c>
      <c r="AX85" s="7">
        <v>9702</v>
      </c>
      <c r="AY85" s="7">
        <v>13620</v>
      </c>
      <c r="AZ85" s="7">
        <v>7742</v>
      </c>
      <c r="BA85" s="7">
        <v>5878</v>
      </c>
      <c r="BB85" s="7">
        <v>409</v>
      </c>
      <c r="BC85" s="7">
        <v>397</v>
      </c>
      <c r="BD85" s="7">
        <v>990</v>
      </c>
      <c r="BE85" s="7">
        <v>1106</v>
      </c>
      <c r="BF85" s="7">
        <v>1115</v>
      </c>
      <c r="BG85" s="7">
        <v>1047</v>
      </c>
      <c r="BH85" s="7">
        <v>938</v>
      </c>
      <c r="BI85" s="7">
        <v>916</v>
      </c>
      <c r="BJ85" s="7">
        <v>686</v>
      </c>
      <c r="BK85" s="7">
        <v>782</v>
      </c>
      <c r="BL85" s="7">
        <v>509</v>
      </c>
      <c r="BM85" s="7">
        <v>566</v>
      </c>
      <c r="BN85" s="7">
        <v>438</v>
      </c>
      <c r="BO85" s="7">
        <v>476</v>
      </c>
      <c r="BP85" s="7">
        <v>329</v>
      </c>
      <c r="BQ85" s="7">
        <v>391</v>
      </c>
      <c r="BR85" s="7">
        <v>269</v>
      </c>
      <c r="BS85" s="7">
        <v>305</v>
      </c>
      <c r="BT85" s="7">
        <v>214</v>
      </c>
      <c r="BU85" s="7">
        <v>268</v>
      </c>
      <c r="BV85" s="7">
        <v>174</v>
      </c>
      <c r="BW85" s="7">
        <v>196</v>
      </c>
      <c r="BX85" s="7">
        <v>181</v>
      </c>
      <c r="BY85" s="7">
        <v>161</v>
      </c>
      <c r="BZ85" s="7">
        <v>127</v>
      </c>
      <c r="CA85" s="7">
        <v>134</v>
      </c>
      <c r="CB85" s="7">
        <v>230</v>
      </c>
      <c r="CC85" s="7">
        <v>266</v>
      </c>
      <c r="CD85" s="7">
        <v>4775</v>
      </c>
      <c r="CE85" s="7">
        <v>3984</v>
      </c>
      <c r="CF85" s="7">
        <v>1791</v>
      </c>
      <c r="CG85" s="7">
        <v>2968</v>
      </c>
      <c r="CH85" s="7">
        <v>5020</v>
      </c>
      <c r="CI85" s="7">
        <v>974</v>
      </c>
      <c r="CJ85" s="7">
        <v>26590</v>
      </c>
      <c r="CK85" s="7">
        <v>3879</v>
      </c>
      <c r="CL85" s="7">
        <v>235</v>
      </c>
      <c r="CM85" s="7">
        <v>624</v>
      </c>
      <c r="CN85" s="7">
        <v>857</v>
      </c>
      <c r="CO85" s="7">
        <v>1018</v>
      </c>
      <c r="CP85" s="7">
        <v>979</v>
      </c>
      <c r="CQ85" s="7">
        <v>2281</v>
      </c>
      <c r="CR85" s="7">
        <v>4852</v>
      </c>
      <c r="CS85" s="7">
        <v>16629</v>
      </c>
      <c r="CT85" s="7">
        <v>1437</v>
      </c>
      <c r="CU85" s="7">
        <v>649</v>
      </c>
      <c r="CV85" s="7">
        <v>191</v>
      </c>
      <c r="CW85" s="7">
        <v>616</v>
      </c>
      <c r="CX85" s="7">
        <v>37</v>
      </c>
      <c r="CY85" s="7">
        <v>21178</v>
      </c>
      <c r="CZ85" s="7">
        <v>8542</v>
      </c>
      <c r="DA85" s="7">
        <v>100</v>
      </c>
      <c r="DB85" s="7">
        <v>235</v>
      </c>
      <c r="DC85" s="7">
        <v>13</v>
      </c>
      <c r="DD85" s="7">
        <v>3733</v>
      </c>
      <c r="DE85" s="7">
        <v>3904</v>
      </c>
      <c r="DF85" s="7">
        <v>7803</v>
      </c>
      <c r="DG85" s="7">
        <v>0</v>
      </c>
      <c r="DH85" s="7">
        <v>5592</v>
      </c>
      <c r="DI85" s="7">
        <v>10043</v>
      </c>
      <c r="DJ85" s="7">
        <v>0</v>
      </c>
      <c r="DK85" s="7">
        <v>0</v>
      </c>
      <c r="DL85" s="7">
        <v>63</v>
      </c>
      <c r="DM85" s="7">
        <v>10</v>
      </c>
      <c r="DN85" s="7">
        <v>8</v>
      </c>
      <c r="DO85" s="7">
        <v>0</v>
      </c>
      <c r="DP85" s="7">
        <v>1</v>
      </c>
      <c r="DQ85" s="7">
        <v>1</v>
      </c>
      <c r="DR85" s="7">
        <v>0</v>
      </c>
      <c r="DS85" s="7">
        <v>0</v>
      </c>
      <c r="DT85" s="7">
        <v>154</v>
      </c>
      <c r="DU85" s="7">
        <v>149</v>
      </c>
      <c r="DV85" s="7">
        <v>53</v>
      </c>
      <c r="DW85" s="7">
        <v>61</v>
      </c>
      <c r="DX85" s="7">
        <v>34</v>
      </c>
      <c r="DY85" s="7">
        <v>38</v>
      </c>
      <c r="DZ85" s="7">
        <v>39</v>
      </c>
      <c r="EA85" s="7">
        <v>34</v>
      </c>
      <c r="EB85" s="7">
        <v>13</v>
      </c>
      <c r="EC85" s="7">
        <v>9</v>
      </c>
      <c r="ED85" s="7">
        <v>10</v>
      </c>
      <c r="EE85" s="7">
        <v>22</v>
      </c>
      <c r="EF85" s="7">
        <v>58</v>
      </c>
      <c r="EG85" s="7">
        <v>37</v>
      </c>
      <c r="EH85" s="7">
        <v>221</v>
      </c>
      <c r="EI85" s="7">
        <v>81</v>
      </c>
      <c r="EJ85" s="7">
        <v>54</v>
      </c>
      <c r="EK85" s="7">
        <v>45</v>
      </c>
      <c r="EL85" s="7">
        <v>14</v>
      </c>
      <c r="EM85" s="7">
        <v>24</v>
      </c>
      <c r="EN85" s="7">
        <v>51</v>
      </c>
      <c r="EO85" s="7">
        <v>7680</v>
      </c>
      <c r="EP85" s="7">
        <v>7591</v>
      </c>
      <c r="EQ85" s="7">
        <v>89</v>
      </c>
      <c r="ER85" s="7">
        <v>1956</v>
      </c>
      <c r="ES85" s="7">
        <v>1358</v>
      </c>
      <c r="ET85" s="7">
        <v>1343</v>
      </c>
      <c r="EU85" s="7">
        <v>15</v>
      </c>
      <c r="EV85" s="7">
        <v>9040</v>
      </c>
      <c r="EW85" s="134">
        <v>67.842445620000007</v>
      </c>
      <c r="EX85" s="134">
        <v>9.6884185773000002</v>
      </c>
      <c r="EY85" s="134">
        <v>6.6901822457</v>
      </c>
      <c r="EZ85" s="134">
        <v>15.014697237</v>
      </c>
      <c r="FA85" s="134">
        <v>0.76425631979999997</v>
      </c>
      <c r="FB85" s="7">
        <v>2243</v>
      </c>
      <c r="FC85" s="7">
        <v>4330</v>
      </c>
      <c r="FD85" s="7">
        <v>274</v>
      </c>
      <c r="FE85" s="7">
        <v>1145</v>
      </c>
      <c r="FF85" s="7">
        <v>1</v>
      </c>
      <c r="FG85" s="7">
        <v>577</v>
      </c>
      <c r="FH85" s="7">
        <v>464</v>
      </c>
      <c r="FI85" s="134">
        <v>71.887125220000001</v>
      </c>
      <c r="FJ85" s="134">
        <v>11.945914168</v>
      </c>
      <c r="FK85" s="134">
        <v>11.828336273</v>
      </c>
      <c r="FL85" s="134">
        <v>4.3386243385999999</v>
      </c>
      <c r="FM85" s="151">
        <v>9479</v>
      </c>
      <c r="FN85" s="151">
        <v>5309</v>
      </c>
      <c r="FO85" s="7">
        <v>1188</v>
      </c>
      <c r="FP85" s="7">
        <v>120</v>
      </c>
      <c r="FQ85" s="7">
        <v>19</v>
      </c>
      <c r="FR85" s="7">
        <v>1</v>
      </c>
      <c r="FS85" s="7">
        <v>8367</v>
      </c>
      <c r="FT85" s="7">
        <v>10</v>
      </c>
      <c r="FU85" s="7">
        <v>9</v>
      </c>
      <c r="FV85" s="7">
        <v>316</v>
      </c>
      <c r="FW85" s="7">
        <v>10579</v>
      </c>
      <c r="FX85" s="7">
        <v>5061</v>
      </c>
      <c r="FY85" s="7">
        <v>1280</v>
      </c>
      <c r="FZ85" s="7">
        <v>134</v>
      </c>
      <c r="GA85" s="7">
        <v>26</v>
      </c>
      <c r="GB85" s="7">
        <v>6</v>
      </c>
      <c r="GC85" s="7">
        <v>9387</v>
      </c>
      <c r="GD85" s="7">
        <v>9</v>
      </c>
      <c r="GE85" s="7">
        <v>9</v>
      </c>
      <c r="GF85" s="7">
        <v>331</v>
      </c>
      <c r="GG85" s="7">
        <v>1278</v>
      </c>
      <c r="GH85" s="7">
        <v>1496</v>
      </c>
      <c r="GI85" s="7">
        <v>1537</v>
      </c>
      <c r="GJ85" s="7">
        <v>1080</v>
      </c>
      <c r="GK85" s="7">
        <v>710</v>
      </c>
      <c r="GL85" s="7">
        <v>580</v>
      </c>
      <c r="GM85" s="7">
        <v>608</v>
      </c>
      <c r="GN85" s="7">
        <v>485</v>
      </c>
      <c r="GO85" s="7">
        <v>404</v>
      </c>
      <c r="GP85" s="7">
        <v>313</v>
      </c>
      <c r="GQ85" s="7">
        <v>258</v>
      </c>
      <c r="GR85" s="7">
        <v>220</v>
      </c>
      <c r="GS85" s="7">
        <v>166</v>
      </c>
      <c r="GT85" s="7">
        <v>111</v>
      </c>
      <c r="GU85" s="7">
        <v>115</v>
      </c>
      <c r="GV85" s="7">
        <v>59</v>
      </c>
      <c r="GW85" s="7">
        <v>25</v>
      </c>
      <c r="GX85" s="7">
        <v>34</v>
      </c>
      <c r="GY85" s="7">
        <v>1281</v>
      </c>
      <c r="GZ85" s="7">
        <v>1539</v>
      </c>
      <c r="HA85" s="7">
        <v>1498</v>
      </c>
      <c r="HB85" s="7">
        <v>1130</v>
      </c>
      <c r="HC85" s="7">
        <v>908</v>
      </c>
      <c r="HD85" s="7">
        <v>809</v>
      </c>
      <c r="HE85" s="7">
        <v>712</v>
      </c>
      <c r="HF85" s="7">
        <v>647</v>
      </c>
      <c r="HG85" s="7">
        <v>481</v>
      </c>
      <c r="HH85" s="7">
        <v>386</v>
      </c>
      <c r="HI85" s="7">
        <v>306</v>
      </c>
      <c r="HJ85" s="7">
        <v>250</v>
      </c>
      <c r="HK85" s="7">
        <v>192</v>
      </c>
      <c r="HL85" s="7">
        <v>159</v>
      </c>
      <c r="HM85" s="7">
        <v>132</v>
      </c>
      <c r="HN85" s="7">
        <v>64</v>
      </c>
      <c r="HO85" s="7">
        <v>42</v>
      </c>
      <c r="HP85" s="7">
        <v>40</v>
      </c>
      <c r="HQ85" s="7">
        <v>5968</v>
      </c>
      <c r="HR85" s="7">
        <v>1</v>
      </c>
      <c r="HS85" s="7">
        <v>1</v>
      </c>
      <c r="HT85" s="7">
        <v>0</v>
      </c>
      <c r="HU85" s="7">
        <v>1</v>
      </c>
      <c r="HV85" s="7">
        <v>2</v>
      </c>
      <c r="HW85" s="7">
        <v>0</v>
      </c>
      <c r="HX85" s="7">
        <v>212</v>
      </c>
      <c r="HY85" s="7">
        <v>235</v>
      </c>
      <c r="HZ85" s="7">
        <v>624</v>
      </c>
      <c r="IA85" s="7">
        <v>857</v>
      </c>
      <c r="IB85" s="7">
        <v>1017</v>
      </c>
      <c r="IC85" s="7">
        <v>979</v>
      </c>
      <c r="ID85" s="7">
        <v>848</v>
      </c>
      <c r="IE85" s="7">
        <v>459</v>
      </c>
      <c r="IF85" s="7">
        <v>374</v>
      </c>
      <c r="IG85" s="7">
        <v>598</v>
      </c>
      <c r="IH85" s="7">
        <v>536</v>
      </c>
      <c r="II85" s="7">
        <v>2049</v>
      </c>
      <c r="IJ85" s="7">
        <v>1731</v>
      </c>
      <c r="IK85" s="7">
        <v>1011</v>
      </c>
      <c r="IL85" s="7">
        <v>435</v>
      </c>
      <c r="IM85" s="7">
        <v>155</v>
      </c>
      <c r="IN85" s="7">
        <v>39</v>
      </c>
      <c r="IO85" s="7">
        <v>10</v>
      </c>
      <c r="IP85" s="7">
        <v>8</v>
      </c>
      <c r="IQ85" s="7">
        <v>3385</v>
      </c>
      <c r="IR85" s="7">
        <v>1720</v>
      </c>
      <c r="IS85" s="7">
        <v>610</v>
      </c>
      <c r="IT85" s="7">
        <v>191</v>
      </c>
      <c r="IU85" s="7">
        <v>52</v>
      </c>
      <c r="IV85" s="7">
        <v>745</v>
      </c>
      <c r="IW85" s="7">
        <v>4873</v>
      </c>
      <c r="IX85" s="7">
        <v>86</v>
      </c>
      <c r="IY85" s="7">
        <v>84</v>
      </c>
      <c r="IZ85" s="7">
        <v>4</v>
      </c>
      <c r="JA85" s="7">
        <v>183</v>
      </c>
      <c r="JB85" s="7">
        <v>3583</v>
      </c>
      <c r="JC85" s="7">
        <v>812</v>
      </c>
      <c r="JD85" s="7">
        <v>592</v>
      </c>
      <c r="JE85" s="7">
        <v>205</v>
      </c>
      <c r="JF85" s="151">
        <v>5836.6202724634832</v>
      </c>
      <c r="JG85" s="151">
        <v>148.33030049672948</v>
      </c>
      <c r="JH85" s="7">
        <v>1012</v>
      </c>
      <c r="JI85" s="7">
        <v>4778</v>
      </c>
      <c r="JJ85" s="7">
        <v>190</v>
      </c>
      <c r="JK85" s="7">
        <v>11</v>
      </c>
      <c r="JL85" s="7">
        <v>1323</v>
      </c>
      <c r="JM85" s="7">
        <v>582</v>
      </c>
      <c r="JN85" s="7">
        <v>461</v>
      </c>
      <c r="JO85" s="7">
        <v>2827</v>
      </c>
      <c r="JP85" s="7">
        <v>3298</v>
      </c>
      <c r="JQ85" s="7">
        <v>266</v>
      </c>
      <c r="JR85" s="7">
        <v>316</v>
      </c>
      <c r="JS85" s="7">
        <v>1396</v>
      </c>
      <c r="JT85" s="7">
        <v>147</v>
      </c>
      <c r="JU85" s="151">
        <v>323.61186248954903</v>
      </c>
      <c r="JV85" s="151">
        <v>4470.7618157674724</v>
      </c>
      <c r="JW85" s="151">
        <v>1032.2136428466042</v>
      </c>
      <c r="JX85" s="151">
        <v>10.032951359858359</v>
      </c>
      <c r="JY85" s="7">
        <v>5754</v>
      </c>
      <c r="JZ85" s="7">
        <v>30333</v>
      </c>
      <c r="KA85" s="7">
        <v>8</v>
      </c>
      <c r="KB85" s="7">
        <v>2</v>
      </c>
      <c r="KC85" s="7">
        <v>0</v>
      </c>
      <c r="KD85" s="7">
        <v>4</v>
      </c>
      <c r="KE85" s="7">
        <v>18</v>
      </c>
      <c r="KF85" s="7">
        <v>0</v>
      </c>
      <c r="KG85" s="7">
        <v>677</v>
      </c>
      <c r="KH85" s="7">
        <v>4945</v>
      </c>
      <c r="KI85" s="7">
        <v>24627</v>
      </c>
      <c r="KJ85" s="7">
        <v>826</v>
      </c>
      <c r="KK85" s="7">
        <v>49</v>
      </c>
      <c r="KL85" s="7">
        <v>1645</v>
      </c>
      <c r="KM85" s="7">
        <v>22726</v>
      </c>
      <c r="KN85" s="7">
        <v>5247</v>
      </c>
      <c r="KO85" s="7">
        <v>51</v>
      </c>
      <c r="KP85" s="7">
        <v>29669</v>
      </c>
      <c r="KQ85" s="7">
        <v>754</v>
      </c>
      <c r="KR85" s="7">
        <v>5003</v>
      </c>
      <c r="KS85" s="7">
        <v>5003</v>
      </c>
      <c r="KT85" s="7">
        <v>1217</v>
      </c>
      <c r="KU85" s="7">
        <v>282</v>
      </c>
      <c r="KV85" s="7">
        <v>623</v>
      </c>
      <c r="KW85" s="7">
        <v>1</v>
      </c>
      <c r="KX85" s="7">
        <v>1270</v>
      </c>
      <c r="KY85" s="7">
        <v>319</v>
      </c>
      <c r="KZ85" s="7">
        <v>566</v>
      </c>
      <c r="LA85" s="7">
        <v>0</v>
      </c>
      <c r="LB85" s="7">
        <v>2676</v>
      </c>
      <c r="LC85" s="7">
        <v>2731</v>
      </c>
      <c r="LD85" s="7">
        <v>2059</v>
      </c>
      <c r="LE85" s="7">
        <v>3495</v>
      </c>
      <c r="LF85" s="7">
        <v>17567</v>
      </c>
      <c r="LG85" s="7">
        <v>32</v>
      </c>
      <c r="LH85" s="7">
        <v>3847</v>
      </c>
      <c r="LI85" s="7">
        <v>493</v>
      </c>
      <c r="LJ85" s="7">
        <v>1075</v>
      </c>
      <c r="LK85" s="7">
        <v>1</v>
      </c>
      <c r="LL85" s="7">
        <v>662</v>
      </c>
      <c r="LM85" s="7">
        <v>362</v>
      </c>
      <c r="LN85" s="7">
        <v>37</v>
      </c>
      <c r="LO85" s="7">
        <v>3657</v>
      </c>
      <c r="LP85" s="7">
        <v>440</v>
      </c>
      <c r="LQ85" s="7">
        <v>986</v>
      </c>
      <c r="LR85" s="7">
        <v>0</v>
      </c>
      <c r="LS85" s="7">
        <v>606</v>
      </c>
      <c r="LT85" s="7">
        <v>283</v>
      </c>
      <c r="LU85" s="232">
        <v>4.7711661341999996</v>
      </c>
      <c r="LV85" s="232">
        <v>5.2493124477000004</v>
      </c>
      <c r="LW85" s="232">
        <v>4.3348608838000002</v>
      </c>
      <c r="LX85" s="7">
        <v>5991</v>
      </c>
      <c r="LY85" s="7">
        <v>30447</v>
      </c>
    </row>
    <row r="86" spans="1:337" x14ac:dyDescent="0.25">
      <c r="A86" t="s">
        <v>182</v>
      </c>
      <c r="B86" t="s">
        <v>183</v>
      </c>
      <c r="C86" s="7">
        <v>6870</v>
      </c>
      <c r="D86">
        <v>9002</v>
      </c>
      <c r="F86">
        <f t="shared" si="4"/>
        <v>-9002</v>
      </c>
      <c r="G86">
        <f t="shared" si="5"/>
        <v>-100</v>
      </c>
      <c r="H86">
        <v>4482</v>
      </c>
      <c r="I86">
        <v>4520</v>
      </c>
      <c r="J86">
        <v>5895</v>
      </c>
      <c r="K86">
        <v>3107</v>
      </c>
      <c r="L86" s="7">
        <v>581</v>
      </c>
      <c r="M86" s="7">
        <v>626</v>
      </c>
      <c r="N86" s="7">
        <v>593</v>
      </c>
      <c r="O86" s="7">
        <v>511</v>
      </c>
      <c r="P86" s="7">
        <v>433</v>
      </c>
      <c r="Q86" s="7">
        <v>332</v>
      </c>
      <c r="R86" s="7">
        <v>284</v>
      </c>
      <c r="S86" s="7">
        <v>233</v>
      </c>
      <c r="T86" s="7">
        <v>189</v>
      </c>
      <c r="U86" s="7">
        <v>171</v>
      </c>
      <c r="V86" s="7">
        <v>125</v>
      </c>
      <c r="W86" s="7">
        <v>112</v>
      </c>
      <c r="X86" s="7">
        <v>90</v>
      </c>
      <c r="Y86" s="7">
        <v>201</v>
      </c>
      <c r="Z86" s="7">
        <v>1</v>
      </c>
      <c r="AA86" s="7">
        <v>610</v>
      </c>
      <c r="AB86" s="7">
        <v>597</v>
      </c>
      <c r="AC86" s="7">
        <v>615</v>
      </c>
      <c r="AD86" s="7">
        <v>493</v>
      </c>
      <c r="AE86" s="7">
        <v>420</v>
      </c>
      <c r="AF86" s="7">
        <v>342</v>
      </c>
      <c r="AG86" s="7">
        <v>309</v>
      </c>
      <c r="AH86" s="7">
        <v>230</v>
      </c>
      <c r="AI86" s="7">
        <v>190</v>
      </c>
      <c r="AJ86" s="7">
        <v>181</v>
      </c>
      <c r="AK86" s="7">
        <v>136</v>
      </c>
      <c r="AL86" s="7">
        <v>96</v>
      </c>
      <c r="AM86" s="7">
        <v>93</v>
      </c>
      <c r="AN86" s="7">
        <v>208</v>
      </c>
      <c r="AO86" s="7">
        <v>0</v>
      </c>
      <c r="AP86">
        <v>8892</v>
      </c>
      <c r="AQ86">
        <v>107</v>
      </c>
      <c r="AR86" t="s">
        <v>358</v>
      </c>
      <c r="AS86">
        <v>1</v>
      </c>
      <c r="AT86">
        <v>2</v>
      </c>
      <c r="AU86" s="7">
        <v>2496</v>
      </c>
      <c r="AV86" s="7">
        <v>1292</v>
      </c>
      <c r="AW86" s="7">
        <v>1204</v>
      </c>
      <c r="AX86" s="7">
        <v>2295</v>
      </c>
      <c r="AY86" s="7">
        <v>2496</v>
      </c>
      <c r="AZ86" s="7">
        <v>594</v>
      </c>
      <c r="BA86" s="7">
        <v>1902</v>
      </c>
      <c r="BB86" s="7">
        <v>21</v>
      </c>
      <c r="BC86" s="7">
        <v>16</v>
      </c>
      <c r="BD86" s="7">
        <v>82</v>
      </c>
      <c r="BE86" s="7">
        <v>61</v>
      </c>
      <c r="BF86" s="7">
        <v>132</v>
      </c>
      <c r="BG86" s="7">
        <v>86</v>
      </c>
      <c r="BH86" s="7">
        <v>110</v>
      </c>
      <c r="BI86" s="7">
        <v>98</v>
      </c>
      <c r="BJ86" s="7">
        <v>108</v>
      </c>
      <c r="BK86" s="7">
        <v>103</v>
      </c>
      <c r="BL86" s="7">
        <v>108</v>
      </c>
      <c r="BM86" s="7">
        <v>106</v>
      </c>
      <c r="BN86" s="7">
        <v>117</v>
      </c>
      <c r="BO86" s="7">
        <v>111</v>
      </c>
      <c r="BP86" s="7">
        <v>101</v>
      </c>
      <c r="BQ86" s="7">
        <v>101</v>
      </c>
      <c r="BR86" s="7">
        <v>96</v>
      </c>
      <c r="BS86" s="7">
        <v>108</v>
      </c>
      <c r="BT86" s="7">
        <v>82</v>
      </c>
      <c r="BU86" s="7">
        <v>86</v>
      </c>
      <c r="BV86" s="7">
        <v>78</v>
      </c>
      <c r="BW86" s="7">
        <v>80</v>
      </c>
      <c r="BX86" s="7">
        <v>62</v>
      </c>
      <c r="BY86" s="7">
        <v>60</v>
      </c>
      <c r="BZ86" s="7">
        <v>60</v>
      </c>
      <c r="CA86" s="7">
        <v>55</v>
      </c>
      <c r="CB86" s="7">
        <v>135</v>
      </c>
      <c r="CC86" s="7">
        <v>133</v>
      </c>
      <c r="CD86" s="7">
        <v>1265</v>
      </c>
      <c r="CE86" s="7">
        <v>1172</v>
      </c>
      <c r="CF86" s="7">
        <v>17</v>
      </c>
      <c r="CG86" s="7">
        <v>26</v>
      </c>
      <c r="CH86" s="7">
        <v>1551</v>
      </c>
      <c r="CI86" s="7">
        <v>318</v>
      </c>
      <c r="CJ86" s="7">
        <v>7885</v>
      </c>
      <c r="CK86" s="7">
        <v>1117</v>
      </c>
      <c r="CL86" s="7">
        <v>100</v>
      </c>
      <c r="CM86" s="7">
        <v>205</v>
      </c>
      <c r="CN86" s="7">
        <v>304</v>
      </c>
      <c r="CO86" s="7">
        <v>358</v>
      </c>
      <c r="CP86" s="7">
        <v>289</v>
      </c>
      <c r="CQ86" s="7">
        <v>613</v>
      </c>
      <c r="CR86" s="7">
        <v>1462</v>
      </c>
      <c r="CS86" s="7">
        <v>4754</v>
      </c>
      <c r="CT86" s="7">
        <v>466</v>
      </c>
      <c r="CU86" s="7">
        <v>177</v>
      </c>
      <c r="CV86" s="7">
        <v>56</v>
      </c>
      <c r="CW86" s="7">
        <v>192</v>
      </c>
      <c r="CX86" s="7">
        <v>8</v>
      </c>
      <c r="CY86" s="7">
        <v>6138</v>
      </c>
      <c r="CZ86" s="7">
        <v>2645</v>
      </c>
      <c r="DA86" s="7">
        <v>38</v>
      </c>
      <c r="DB86" s="7">
        <v>100</v>
      </c>
      <c r="DC86" s="7">
        <v>2</v>
      </c>
      <c r="DD86" s="7">
        <v>1806</v>
      </c>
      <c r="DE86" s="7">
        <v>628</v>
      </c>
      <c r="DF86" s="7">
        <v>673</v>
      </c>
      <c r="DG86" s="7">
        <v>0</v>
      </c>
      <c r="DH86" s="7">
        <v>5895</v>
      </c>
      <c r="DI86" s="7">
        <v>0</v>
      </c>
      <c r="DJ86" s="7">
        <v>0</v>
      </c>
      <c r="DK86" s="7">
        <v>0</v>
      </c>
      <c r="DL86" s="7">
        <v>29</v>
      </c>
      <c r="DM86" s="7">
        <v>2</v>
      </c>
      <c r="DN86" s="7">
        <v>1</v>
      </c>
      <c r="DO86" s="7">
        <v>0</v>
      </c>
      <c r="DP86" s="7">
        <v>1</v>
      </c>
      <c r="DQ86" s="7">
        <v>0</v>
      </c>
      <c r="DR86" s="7">
        <v>0</v>
      </c>
      <c r="DS86" s="7">
        <v>0</v>
      </c>
      <c r="DT86" s="7">
        <v>125</v>
      </c>
      <c r="DU86" s="7">
        <v>137</v>
      </c>
      <c r="DV86" s="7">
        <v>104</v>
      </c>
      <c r="DW86" s="7">
        <v>93</v>
      </c>
      <c r="DX86" s="7">
        <v>79</v>
      </c>
      <c r="DY86" s="7">
        <v>46</v>
      </c>
      <c r="DZ86" s="7">
        <v>27</v>
      </c>
      <c r="EA86" s="7">
        <v>31</v>
      </c>
      <c r="EB86" s="7">
        <v>8</v>
      </c>
      <c r="EC86" s="7">
        <v>11</v>
      </c>
      <c r="ED86" s="7">
        <v>11</v>
      </c>
      <c r="EE86" s="7">
        <v>7</v>
      </c>
      <c r="EF86" s="7">
        <v>29</v>
      </c>
      <c r="EG86" s="7">
        <v>13</v>
      </c>
      <c r="EH86" s="7">
        <v>165</v>
      </c>
      <c r="EI86" s="7">
        <v>126</v>
      </c>
      <c r="EJ86" s="7">
        <v>85</v>
      </c>
      <c r="EK86" s="7">
        <v>39</v>
      </c>
      <c r="EL86" s="7">
        <v>13</v>
      </c>
      <c r="EM86" s="7">
        <v>12</v>
      </c>
      <c r="EN86" s="7">
        <v>17</v>
      </c>
      <c r="EO86" s="7">
        <v>2268</v>
      </c>
      <c r="EP86" s="7">
        <v>2144</v>
      </c>
      <c r="EQ86" s="7">
        <v>124</v>
      </c>
      <c r="ER86" s="7">
        <v>765</v>
      </c>
      <c r="ES86" s="7">
        <v>539</v>
      </c>
      <c r="ET86" s="7">
        <v>522</v>
      </c>
      <c r="EU86" s="7">
        <v>17</v>
      </c>
      <c r="EV86" s="7">
        <v>2502</v>
      </c>
      <c r="EW86" s="134">
        <v>53.768278965</v>
      </c>
      <c r="EX86" s="134">
        <v>10.986126734000001</v>
      </c>
      <c r="EY86" s="134">
        <v>10.761154855999999</v>
      </c>
      <c r="EZ86" s="134">
        <v>23.959505062000002</v>
      </c>
      <c r="FA86" s="134">
        <v>0.52493438319999997</v>
      </c>
      <c r="FB86" s="7">
        <v>400</v>
      </c>
      <c r="FC86" s="7">
        <v>1247</v>
      </c>
      <c r="FD86" s="7">
        <v>109</v>
      </c>
      <c r="FE86" s="7">
        <v>365</v>
      </c>
      <c r="FF86" s="7">
        <v>1</v>
      </c>
      <c r="FG86" s="7">
        <v>391</v>
      </c>
      <c r="FH86" s="7">
        <v>294</v>
      </c>
      <c r="FI86" s="134">
        <v>63.104611923999997</v>
      </c>
      <c r="FJ86" s="134">
        <v>20.172478439999999</v>
      </c>
      <c r="FK86" s="134">
        <v>15.785526809</v>
      </c>
      <c r="FL86" s="134">
        <v>0.93738282709999998</v>
      </c>
      <c r="FM86" s="151">
        <v>3008</v>
      </c>
      <c r="FN86" s="151">
        <v>1470</v>
      </c>
      <c r="FO86" s="7">
        <v>472</v>
      </c>
      <c r="FP86" s="7">
        <v>117</v>
      </c>
      <c r="FQ86" s="7">
        <v>30</v>
      </c>
      <c r="FR86" s="7">
        <v>1</v>
      </c>
      <c r="FS86" s="7">
        <v>2393</v>
      </c>
      <c r="FT86" s="7">
        <v>9</v>
      </c>
      <c r="FU86" s="7">
        <v>5</v>
      </c>
      <c r="FV86" s="7">
        <v>4</v>
      </c>
      <c r="FW86" s="7">
        <v>3215</v>
      </c>
      <c r="FX86" s="7">
        <v>1305</v>
      </c>
      <c r="FY86" s="7">
        <v>481</v>
      </c>
      <c r="FZ86" s="7">
        <v>116</v>
      </c>
      <c r="GA86" s="7">
        <v>35</v>
      </c>
      <c r="GB86" s="7">
        <v>4</v>
      </c>
      <c r="GC86" s="7">
        <v>2583</v>
      </c>
      <c r="GD86" s="7">
        <v>10</v>
      </c>
      <c r="GE86" s="7">
        <v>9</v>
      </c>
      <c r="GF86" s="7">
        <v>0</v>
      </c>
      <c r="GG86" s="7">
        <v>393</v>
      </c>
      <c r="GH86" s="7">
        <v>467</v>
      </c>
      <c r="GI86" s="7">
        <v>443</v>
      </c>
      <c r="GJ86" s="7">
        <v>332</v>
      </c>
      <c r="GK86" s="7">
        <v>200</v>
      </c>
      <c r="GL86" s="7">
        <v>188</v>
      </c>
      <c r="GM86" s="7">
        <v>207</v>
      </c>
      <c r="GN86" s="7">
        <v>166</v>
      </c>
      <c r="GO86" s="7">
        <v>145</v>
      </c>
      <c r="GP86" s="7">
        <v>116</v>
      </c>
      <c r="GQ86" s="7">
        <v>91</v>
      </c>
      <c r="GR86" s="7">
        <v>69</v>
      </c>
      <c r="GS86" s="7">
        <v>60</v>
      </c>
      <c r="GT86" s="7">
        <v>42</v>
      </c>
      <c r="GU86" s="7">
        <v>38</v>
      </c>
      <c r="GV86" s="7">
        <v>27</v>
      </c>
      <c r="GW86" s="7">
        <v>13</v>
      </c>
      <c r="GX86" s="7">
        <v>10</v>
      </c>
      <c r="GY86" s="7">
        <v>362</v>
      </c>
      <c r="GZ86" s="7">
        <v>454</v>
      </c>
      <c r="HA86" s="7">
        <v>475</v>
      </c>
      <c r="HB86" s="7">
        <v>321</v>
      </c>
      <c r="HC86" s="7">
        <v>273</v>
      </c>
      <c r="HD86" s="7">
        <v>245</v>
      </c>
      <c r="HE86" s="7">
        <v>236</v>
      </c>
      <c r="HF86" s="7">
        <v>182</v>
      </c>
      <c r="HG86" s="7">
        <v>157</v>
      </c>
      <c r="HH86" s="7">
        <v>131</v>
      </c>
      <c r="HI86" s="7">
        <v>98</v>
      </c>
      <c r="HJ86" s="7">
        <v>74</v>
      </c>
      <c r="HK86" s="7">
        <v>64</v>
      </c>
      <c r="HL86" s="7">
        <v>44</v>
      </c>
      <c r="HM86" s="7">
        <v>44</v>
      </c>
      <c r="HN86" s="7">
        <v>30</v>
      </c>
      <c r="HO86" s="7">
        <v>13</v>
      </c>
      <c r="HP86" s="7">
        <v>12</v>
      </c>
      <c r="HQ86" s="7">
        <v>1858</v>
      </c>
      <c r="HR86" s="7">
        <v>1</v>
      </c>
      <c r="HS86" s="7">
        <v>1</v>
      </c>
      <c r="HT86" s="7">
        <v>0</v>
      </c>
      <c r="HU86" s="7">
        <v>0</v>
      </c>
      <c r="HV86" s="7">
        <v>0</v>
      </c>
      <c r="HW86" s="7">
        <v>0</v>
      </c>
      <c r="HX86" s="7">
        <v>9</v>
      </c>
      <c r="HY86" s="7">
        <v>100</v>
      </c>
      <c r="HZ86" s="7">
        <v>205</v>
      </c>
      <c r="IA86" s="7">
        <v>304</v>
      </c>
      <c r="IB86" s="7">
        <v>358</v>
      </c>
      <c r="IC86" s="7">
        <v>289</v>
      </c>
      <c r="ID86" s="7">
        <v>207</v>
      </c>
      <c r="IE86" s="7">
        <v>159</v>
      </c>
      <c r="IF86" s="7">
        <v>87</v>
      </c>
      <c r="IG86" s="7">
        <v>160</v>
      </c>
      <c r="IH86" s="7">
        <v>334</v>
      </c>
      <c r="II86" s="7">
        <v>523</v>
      </c>
      <c r="IJ86" s="7">
        <v>468</v>
      </c>
      <c r="IK86" s="7">
        <v>302</v>
      </c>
      <c r="IL86" s="7">
        <v>137</v>
      </c>
      <c r="IM86" s="7">
        <v>57</v>
      </c>
      <c r="IN86" s="7">
        <v>24</v>
      </c>
      <c r="IO86" s="7">
        <v>9</v>
      </c>
      <c r="IP86" s="7">
        <v>7</v>
      </c>
      <c r="IQ86" s="7">
        <v>1096</v>
      </c>
      <c r="IR86" s="7">
        <v>514</v>
      </c>
      <c r="IS86" s="7">
        <v>174</v>
      </c>
      <c r="IT86" s="7">
        <v>54</v>
      </c>
      <c r="IU86" s="7">
        <v>22</v>
      </c>
      <c r="IV86" s="7">
        <v>751</v>
      </c>
      <c r="IW86" s="7">
        <v>805</v>
      </c>
      <c r="IX86" s="7">
        <v>7</v>
      </c>
      <c r="IY86" s="7">
        <v>16</v>
      </c>
      <c r="IZ86" s="7">
        <v>1</v>
      </c>
      <c r="JA86" s="7">
        <v>284</v>
      </c>
      <c r="JB86" s="7">
        <v>1213</v>
      </c>
      <c r="JC86" s="7">
        <v>446</v>
      </c>
      <c r="JD86" s="7">
        <v>3</v>
      </c>
      <c r="JE86" s="7">
        <v>40</v>
      </c>
      <c r="JF86" s="151">
        <v>1777.2318741553736</v>
      </c>
      <c r="JG86" s="151">
        <v>88.446352615676304</v>
      </c>
      <c r="JH86" s="7">
        <v>161</v>
      </c>
      <c r="JI86" s="7">
        <v>1636</v>
      </c>
      <c r="JJ86" s="7">
        <v>66</v>
      </c>
      <c r="JK86" s="7">
        <v>6</v>
      </c>
      <c r="JL86" s="7">
        <v>536</v>
      </c>
      <c r="JM86" s="7">
        <v>266</v>
      </c>
      <c r="JN86" s="7">
        <v>188</v>
      </c>
      <c r="JO86" s="7">
        <v>901</v>
      </c>
      <c r="JP86" s="7">
        <v>1300</v>
      </c>
      <c r="JQ86" s="7">
        <v>160</v>
      </c>
      <c r="JR86" s="7">
        <v>89</v>
      </c>
      <c r="JS86" s="7">
        <v>682</v>
      </c>
      <c r="JT86" s="7">
        <v>30</v>
      </c>
      <c r="JU86" s="151">
        <v>253.50468672239617</v>
      </c>
      <c r="JV86" s="151">
        <v>1313.1999537421423</v>
      </c>
      <c r="JW86" s="151">
        <v>209.4891309606042</v>
      </c>
      <c r="JX86" s="151">
        <v>1.0381027302309425</v>
      </c>
      <c r="JY86" s="7">
        <v>1799</v>
      </c>
      <c r="JZ86" s="7">
        <v>8959</v>
      </c>
      <c r="KA86" s="7">
        <v>7</v>
      </c>
      <c r="KB86" s="7">
        <v>2</v>
      </c>
      <c r="KC86" s="7">
        <v>0</v>
      </c>
      <c r="KD86" s="7">
        <v>0</v>
      </c>
      <c r="KE86" s="7">
        <v>0</v>
      </c>
      <c r="KF86" s="7">
        <v>0</v>
      </c>
      <c r="KG86" s="7">
        <v>34</v>
      </c>
      <c r="KH86" s="7">
        <v>701</v>
      </c>
      <c r="KI86" s="7">
        <v>8021</v>
      </c>
      <c r="KJ86" s="7">
        <v>264</v>
      </c>
      <c r="KK86" s="7">
        <v>16</v>
      </c>
      <c r="KL86" s="7">
        <v>1221</v>
      </c>
      <c r="KM86" s="7">
        <v>6325</v>
      </c>
      <c r="KN86" s="7">
        <v>1009</v>
      </c>
      <c r="KO86" s="7">
        <v>5</v>
      </c>
      <c r="KP86" s="7">
        <v>8560</v>
      </c>
      <c r="KQ86" s="7">
        <v>426</v>
      </c>
      <c r="KR86" s="7">
        <v>1657</v>
      </c>
      <c r="KS86" s="7">
        <v>1657</v>
      </c>
      <c r="KT86" s="7">
        <v>373</v>
      </c>
      <c r="KU86" s="7">
        <v>120</v>
      </c>
      <c r="KV86" s="7">
        <v>250</v>
      </c>
      <c r="KW86" s="7">
        <v>0</v>
      </c>
      <c r="KX86" s="7">
        <v>365</v>
      </c>
      <c r="KY86" s="7">
        <v>118</v>
      </c>
      <c r="KZ86" s="7">
        <v>225</v>
      </c>
      <c r="LA86" s="7">
        <v>0</v>
      </c>
      <c r="LB86" s="7">
        <v>822</v>
      </c>
      <c r="LC86" s="7">
        <v>858</v>
      </c>
      <c r="LD86" s="7">
        <v>430</v>
      </c>
      <c r="LE86" s="7">
        <v>833</v>
      </c>
      <c r="LF86" s="7">
        <v>5379</v>
      </c>
      <c r="LG86" s="7">
        <v>6</v>
      </c>
      <c r="LH86" s="7">
        <v>1118</v>
      </c>
      <c r="LI86" s="7">
        <v>161</v>
      </c>
      <c r="LJ86" s="7">
        <v>368</v>
      </c>
      <c r="LK86" s="7">
        <v>0</v>
      </c>
      <c r="LL86" s="7">
        <v>421</v>
      </c>
      <c r="LM86" s="7">
        <v>235</v>
      </c>
      <c r="LN86" s="7">
        <v>11</v>
      </c>
      <c r="LO86" s="7">
        <v>1054</v>
      </c>
      <c r="LP86" s="7">
        <v>124</v>
      </c>
      <c r="LQ86" s="7">
        <v>311</v>
      </c>
      <c r="LR86" s="7">
        <v>2</v>
      </c>
      <c r="LS86" s="7">
        <v>375</v>
      </c>
      <c r="LT86" s="7">
        <v>147</v>
      </c>
      <c r="LU86" s="232">
        <v>6.0098641355</v>
      </c>
      <c r="LV86" s="232">
        <v>6.6107583114999997</v>
      </c>
      <c r="LW86" s="232">
        <v>5.4132047478</v>
      </c>
      <c r="LX86" s="7">
        <v>1869</v>
      </c>
      <c r="LY86" s="7">
        <v>9002</v>
      </c>
    </row>
    <row r="87" spans="1:337" x14ac:dyDescent="0.25">
      <c r="A87" t="s">
        <v>184</v>
      </c>
      <c r="B87" t="s">
        <v>185</v>
      </c>
      <c r="C87" s="7">
        <v>34809</v>
      </c>
      <c r="D87">
        <v>40711</v>
      </c>
      <c r="F87">
        <f t="shared" si="4"/>
        <v>-40711</v>
      </c>
      <c r="G87">
        <f t="shared" si="5"/>
        <v>-100</v>
      </c>
      <c r="H87">
        <v>20004</v>
      </c>
      <c r="I87">
        <v>20707</v>
      </c>
      <c r="J87">
        <v>26257</v>
      </c>
      <c r="K87">
        <v>14454</v>
      </c>
      <c r="L87" s="7">
        <v>2366</v>
      </c>
      <c r="M87" s="7">
        <v>2162</v>
      </c>
      <c r="N87" s="7">
        <v>2035</v>
      </c>
      <c r="O87" s="7">
        <v>2055</v>
      </c>
      <c r="P87" s="7">
        <v>1906</v>
      </c>
      <c r="Q87" s="7">
        <v>1603</v>
      </c>
      <c r="R87" s="7">
        <v>1478</v>
      </c>
      <c r="S87" s="7">
        <v>1250</v>
      </c>
      <c r="T87" s="7">
        <v>1090</v>
      </c>
      <c r="U87" s="7">
        <v>1047</v>
      </c>
      <c r="V87" s="7">
        <v>932</v>
      </c>
      <c r="W87" s="7">
        <v>695</v>
      </c>
      <c r="X87" s="7">
        <v>464</v>
      </c>
      <c r="Y87" s="7">
        <v>831</v>
      </c>
      <c r="Z87" s="7">
        <v>90</v>
      </c>
      <c r="AA87" s="7">
        <v>2305</v>
      </c>
      <c r="AB87" s="7">
        <v>2104</v>
      </c>
      <c r="AC87" s="7">
        <v>2058</v>
      </c>
      <c r="AD87" s="7">
        <v>2088</v>
      </c>
      <c r="AE87" s="7">
        <v>2099</v>
      </c>
      <c r="AF87" s="7">
        <v>1887</v>
      </c>
      <c r="AG87" s="7">
        <v>1688</v>
      </c>
      <c r="AH87" s="7">
        <v>1440</v>
      </c>
      <c r="AI87" s="7">
        <v>1204</v>
      </c>
      <c r="AJ87" s="7">
        <v>1011</v>
      </c>
      <c r="AK87" s="7">
        <v>889</v>
      </c>
      <c r="AL87" s="7">
        <v>600</v>
      </c>
      <c r="AM87" s="7">
        <v>422</v>
      </c>
      <c r="AN87" s="7">
        <v>821</v>
      </c>
      <c r="AO87" s="7">
        <v>91</v>
      </c>
      <c r="AP87">
        <v>26916</v>
      </c>
      <c r="AQ87">
        <v>13502</v>
      </c>
      <c r="AR87">
        <v>48</v>
      </c>
      <c r="AS87">
        <v>11</v>
      </c>
      <c r="AT87">
        <v>234</v>
      </c>
      <c r="AU87" s="7">
        <v>175</v>
      </c>
      <c r="AV87" s="7">
        <v>96</v>
      </c>
      <c r="AW87" s="7">
        <v>79</v>
      </c>
      <c r="AX87" s="7">
        <v>337</v>
      </c>
      <c r="AY87" s="7">
        <v>175</v>
      </c>
      <c r="AZ87" s="7">
        <v>29</v>
      </c>
      <c r="BA87" s="7">
        <v>146</v>
      </c>
      <c r="BB87" s="7">
        <v>1</v>
      </c>
      <c r="BC87" s="7">
        <v>0</v>
      </c>
      <c r="BD87" s="7">
        <v>3</v>
      </c>
      <c r="BE87" s="7">
        <v>1</v>
      </c>
      <c r="BF87" s="7">
        <v>6</v>
      </c>
      <c r="BG87" s="7">
        <v>2</v>
      </c>
      <c r="BH87" s="7">
        <v>3</v>
      </c>
      <c r="BI87" s="7">
        <v>4</v>
      </c>
      <c r="BJ87" s="7">
        <v>3</v>
      </c>
      <c r="BK87" s="7">
        <v>11</v>
      </c>
      <c r="BL87" s="7">
        <v>8</v>
      </c>
      <c r="BM87" s="7">
        <v>10</v>
      </c>
      <c r="BN87" s="7">
        <v>7</v>
      </c>
      <c r="BO87" s="7">
        <v>8</v>
      </c>
      <c r="BP87" s="7">
        <v>9</v>
      </c>
      <c r="BQ87" s="7">
        <v>7</v>
      </c>
      <c r="BR87" s="7">
        <v>10</v>
      </c>
      <c r="BS87" s="7">
        <v>6</v>
      </c>
      <c r="BT87" s="7">
        <v>7</v>
      </c>
      <c r="BU87" s="7">
        <v>3</v>
      </c>
      <c r="BV87" s="7">
        <v>13</v>
      </c>
      <c r="BW87" s="7">
        <v>4</v>
      </c>
      <c r="BX87" s="7">
        <v>9</v>
      </c>
      <c r="BY87" s="7">
        <v>8</v>
      </c>
      <c r="BZ87" s="7">
        <v>8</v>
      </c>
      <c r="CA87" s="7">
        <v>2</v>
      </c>
      <c r="CB87" s="7">
        <v>9</v>
      </c>
      <c r="CC87" s="7">
        <v>13</v>
      </c>
      <c r="CD87" s="7">
        <v>66</v>
      </c>
      <c r="CE87" s="7">
        <v>63</v>
      </c>
      <c r="CF87" s="7">
        <v>1</v>
      </c>
      <c r="CG87" s="7">
        <v>3</v>
      </c>
      <c r="CH87" s="7">
        <v>7842</v>
      </c>
      <c r="CI87" s="7">
        <v>2401</v>
      </c>
      <c r="CJ87" s="7">
        <v>31967</v>
      </c>
      <c r="CK87" s="7">
        <v>8545</v>
      </c>
      <c r="CL87" s="7">
        <v>786</v>
      </c>
      <c r="CM87" s="7">
        <v>1480</v>
      </c>
      <c r="CN87" s="7">
        <v>2132</v>
      </c>
      <c r="CO87" s="7">
        <v>2326</v>
      </c>
      <c r="CP87" s="7">
        <v>1786</v>
      </c>
      <c r="CQ87" s="7">
        <v>1733</v>
      </c>
      <c r="CR87" s="7">
        <v>7400</v>
      </c>
      <c r="CS87" s="7">
        <v>17518</v>
      </c>
      <c r="CT87" s="7">
        <v>2580</v>
      </c>
      <c r="CU87" s="7">
        <v>750</v>
      </c>
      <c r="CV87" s="7">
        <v>350</v>
      </c>
      <c r="CW87" s="7">
        <v>1191</v>
      </c>
      <c r="CX87" s="7">
        <v>326</v>
      </c>
      <c r="CY87" s="7">
        <v>25422</v>
      </c>
      <c r="CZ87" s="7">
        <v>12637</v>
      </c>
      <c r="DA87" s="7">
        <v>944</v>
      </c>
      <c r="DB87" s="7">
        <v>786</v>
      </c>
      <c r="DC87" s="7">
        <v>58</v>
      </c>
      <c r="DD87" s="7">
        <v>2224</v>
      </c>
      <c r="DE87" s="7">
        <v>2863</v>
      </c>
      <c r="DF87" s="7">
        <v>9367</v>
      </c>
      <c r="DG87" s="7">
        <v>0</v>
      </c>
      <c r="DH87" s="7">
        <v>0</v>
      </c>
      <c r="DI87" s="7">
        <v>26257</v>
      </c>
      <c r="DJ87" s="7">
        <v>0</v>
      </c>
      <c r="DK87" s="7">
        <v>0</v>
      </c>
      <c r="DL87" s="7">
        <v>15</v>
      </c>
      <c r="DM87" s="7">
        <v>8</v>
      </c>
      <c r="DN87" s="7">
        <v>10</v>
      </c>
      <c r="DO87" s="7">
        <v>0</v>
      </c>
      <c r="DP87" s="7">
        <v>0</v>
      </c>
      <c r="DQ87" s="7">
        <v>1</v>
      </c>
      <c r="DR87" s="7">
        <v>0</v>
      </c>
      <c r="DS87" s="7">
        <v>0</v>
      </c>
      <c r="DT87" s="7">
        <v>357</v>
      </c>
      <c r="DU87" s="7">
        <v>356</v>
      </c>
      <c r="DV87" s="7">
        <v>274</v>
      </c>
      <c r="DW87" s="7">
        <v>275</v>
      </c>
      <c r="DX87" s="7">
        <v>67</v>
      </c>
      <c r="DY87" s="7">
        <v>67</v>
      </c>
      <c r="DZ87" s="7">
        <v>75</v>
      </c>
      <c r="EA87" s="7">
        <v>60</v>
      </c>
      <c r="EB87" s="7">
        <v>21</v>
      </c>
      <c r="EC87" s="7">
        <v>26</v>
      </c>
      <c r="ED87" s="7">
        <v>20</v>
      </c>
      <c r="EE87" s="7">
        <v>26</v>
      </c>
      <c r="EF87" s="7">
        <v>77</v>
      </c>
      <c r="EG87" s="7">
        <v>61</v>
      </c>
      <c r="EH87" s="7">
        <v>428</v>
      </c>
      <c r="EI87" s="7">
        <v>343</v>
      </c>
      <c r="EJ87" s="7">
        <v>68</v>
      </c>
      <c r="EK87" s="7">
        <v>75</v>
      </c>
      <c r="EL87" s="7">
        <v>24</v>
      </c>
      <c r="EM87" s="7">
        <v>23</v>
      </c>
      <c r="EN87" s="7">
        <v>64</v>
      </c>
      <c r="EO87" s="7">
        <v>10845</v>
      </c>
      <c r="EP87" s="7">
        <v>9823</v>
      </c>
      <c r="EQ87" s="7">
        <v>1022</v>
      </c>
      <c r="ER87" s="7">
        <v>3636</v>
      </c>
      <c r="ES87" s="7">
        <v>3566</v>
      </c>
      <c r="ET87" s="7">
        <v>3428</v>
      </c>
      <c r="EU87" s="7">
        <v>138</v>
      </c>
      <c r="EV87" s="7">
        <v>11810</v>
      </c>
      <c r="EW87" s="134">
        <v>17.178673683</v>
      </c>
      <c r="EX87" s="134">
        <v>31.741855606000001</v>
      </c>
      <c r="EY87" s="134">
        <v>12.752456860000001</v>
      </c>
      <c r="EZ87" s="134">
        <v>37.181768939000001</v>
      </c>
      <c r="FA87" s="134">
        <v>1.1452449121999999</v>
      </c>
      <c r="FB87" s="7">
        <v>1037</v>
      </c>
      <c r="FC87" s="7">
        <v>4565</v>
      </c>
      <c r="FD87" s="7">
        <v>629</v>
      </c>
      <c r="FE87" s="7">
        <v>3184</v>
      </c>
      <c r="FF87" s="7">
        <v>31</v>
      </c>
      <c r="FG87" s="7">
        <v>2682</v>
      </c>
      <c r="FH87" s="7">
        <v>2249</v>
      </c>
      <c r="FI87" s="134">
        <v>14.973303413</v>
      </c>
      <c r="FJ87" s="134">
        <v>24.584074905000001</v>
      </c>
      <c r="FK87" s="134">
        <v>53.919368568000003</v>
      </c>
      <c r="FL87" s="134">
        <v>6.5232531146000001</v>
      </c>
      <c r="FM87" s="151">
        <v>11821</v>
      </c>
      <c r="FN87" s="151">
        <v>8058</v>
      </c>
      <c r="FO87" s="7">
        <v>2503</v>
      </c>
      <c r="FP87" s="7">
        <v>318</v>
      </c>
      <c r="FQ87" s="7">
        <v>82</v>
      </c>
      <c r="FR87" s="7">
        <v>2982</v>
      </c>
      <c r="FS87" s="7">
        <v>5731</v>
      </c>
      <c r="FT87" s="7">
        <v>64</v>
      </c>
      <c r="FU87" s="7">
        <v>176</v>
      </c>
      <c r="FV87" s="7">
        <v>125</v>
      </c>
      <c r="FW87" s="7">
        <v>12983</v>
      </c>
      <c r="FX87" s="7">
        <v>7587</v>
      </c>
      <c r="FY87" s="7">
        <v>2300</v>
      </c>
      <c r="FZ87" s="7">
        <v>380</v>
      </c>
      <c r="GA87" s="7">
        <v>69</v>
      </c>
      <c r="GB87" s="7">
        <v>3007</v>
      </c>
      <c r="GC87" s="7">
        <v>6988</v>
      </c>
      <c r="GD87" s="7">
        <v>68</v>
      </c>
      <c r="GE87" s="7">
        <v>216</v>
      </c>
      <c r="GF87" s="7">
        <v>137</v>
      </c>
      <c r="GG87" s="7">
        <v>1383</v>
      </c>
      <c r="GH87" s="7">
        <v>1385</v>
      </c>
      <c r="GI87" s="7">
        <v>1331</v>
      </c>
      <c r="GJ87" s="7">
        <v>1165</v>
      </c>
      <c r="GK87" s="7">
        <v>868</v>
      </c>
      <c r="GL87" s="7">
        <v>846</v>
      </c>
      <c r="GM87" s="7">
        <v>911</v>
      </c>
      <c r="GN87" s="7">
        <v>759</v>
      </c>
      <c r="GO87" s="7">
        <v>680</v>
      </c>
      <c r="GP87" s="7">
        <v>658</v>
      </c>
      <c r="GQ87" s="7">
        <v>588</v>
      </c>
      <c r="GR87" s="7">
        <v>441</v>
      </c>
      <c r="GS87" s="7">
        <v>288</v>
      </c>
      <c r="GT87" s="7">
        <v>186</v>
      </c>
      <c r="GU87" s="7">
        <v>153</v>
      </c>
      <c r="GV87" s="7">
        <v>91</v>
      </c>
      <c r="GW87" s="7">
        <v>40</v>
      </c>
      <c r="GX87" s="7">
        <v>48</v>
      </c>
      <c r="GY87" s="7">
        <v>1397</v>
      </c>
      <c r="GZ87" s="7">
        <v>1389</v>
      </c>
      <c r="HA87" s="7">
        <v>1370</v>
      </c>
      <c r="HB87" s="7">
        <v>1205</v>
      </c>
      <c r="HC87" s="7">
        <v>1128</v>
      </c>
      <c r="HD87" s="7">
        <v>1162</v>
      </c>
      <c r="HE87" s="7">
        <v>1104</v>
      </c>
      <c r="HF87" s="7">
        <v>932</v>
      </c>
      <c r="HG87" s="7">
        <v>808</v>
      </c>
      <c r="HH87" s="7">
        <v>669</v>
      </c>
      <c r="HI87" s="7">
        <v>615</v>
      </c>
      <c r="HJ87" s="7">
        <v>414</v>
      </c>
      <c r="HK87" s="7">
        <v>271</v>
      </c>
      <c r="HL87" s="7">
        <v>178</v>
      </c>
      <c r="HM87" s="7">
        <v>153</v>
      </c>
      <c r="HN87" s="7">
        <v>88</v>
      </c>
      <c r="HO87" s="7">
        <v>54</v>
      </c>
      <c r="HP87" s="7">
        <v>43</v>
      </c>
      <c r="HQ87" s="7">
        <v>9979</v>
      </c>
      <c r="HR87" s="7">
        <v>19</v>
      </c>
      <c r="HS87" s="7">
        <v>197</v>
      </c>
      <c r="HT87" s="7">
        <v>3</v>
      </c>
      <c r="HU87" s="7">
        <v>0</v>
      </c>
      <c r="HV87" s="7">
        <v>1</v>
      </c>
      <c r="HW87" s="7">
        <v>1</v>
      </c>
      <c r="HX87" s="7">
        <v>101</v>
      </c>
      <c r="HY87" s="7">
        <v>785</v>
      </c>
      <c r="HZ87" s="7">
        <v>1480</v>
      </c>
      <c r="IA87" s="7">
        <v>2131</v>
      </c>
      <c r="IB87" s="7">
        <v>2326</v>
      </c>
      <c r="IC87" s="7">
        <v>1786</v>
      </c>
      <c r="ID87" s="7">
        <v>911</v>
      </c>
      <c r="IE87" s="7">
        <v>400</v>
      </c>
      <c r="IF87" s="7">
        <v>195</v>
      </c>
      <c r="IG87" s="7">
        <v>227</v>
      </c>
      <c r="IH87" s="7">
        <v>2385</v>
      </c>
      <c r="II87" s="7">
        <v>1789</v>
      </c>
      <c r="IJ87" s="7">
        <v>2266</v>
      </c>
      <c r="IK87" s="7">
        <v>2242</v>
      </c>
      <c r="IL87" s="7">
        <v>1022</v>
      </c>
      <c r="IM87" s="7">
        <v>316</v>
      </c>
      <c r="IN87" s="7">
        <v>68</v>
      </c>
      <c r="IO87" s="7">
        <v>27</v>
      </c>
      <c r="IP87" s="7">
        <v>27</v>
      </c>
      <c r="IQ87" s="7">
        <v>4977</v>
      </c>
      <c r="IR87" s="7">
        <v>3548</v>
      </c>
      <c r="IS87" s="7">
        <v>1371</v>
      </c>
      <c r="IT87" s="7">
        <v>220</v>
      </c>
      <c r="IU87" s="7">
        <v>44</v>
      </c>
      <c r="IV87" s="7">
        <v>6338</v>
      </c>
      <c r="IW87" s="7">
        <v>1794</v>
      </c>
      <c r="IX87" s="7">
        <v>681</v>
      </c>
      <c r="IY87" s="7">
        <v>165</v>
      </c>
      <c r="IZ87" s="7">
        <v>263</v>
      </c>
      <c r="JA87" s="7">
        <v>955</v>
      </c>
      <c r="JB87" s="7">
        <v>6488</v>
      </c>
      <c r="JC87" s="7">
        <v>2793</v>
      </c>
      <c r="JD87" s="7">
        <v>390</v>
      </c>
      <c r="JE87" s="7">
        <v>107</v>
      </c>
      <c r="JF87" s="151">
        <v>9915.3217966413413</v>
      </c>
      <c r="JG87" s="151">
        <v>292.78719503546188</v>
      </c>
      <c r="JH87" s="7">
        <v>749</v>
      </c>
      <c r="JI87" s="7">
        <v>7684</v>
      </c>
      <c r="JJ87" s="7">
        <v>1769</v>
      </c>
      <c r="JK87" s="7">
        <v>39</v>
      </c>
      <c r="JL87" s="7">
        <v>8629</v>
      </c>
      <c r="JM87" s="7">
        <v>7329</v>
      </c>
      <c r="JN87" s="7">
        <v>3405</v>
      </c>
      <c r="JO87" s="7">
        <v>6068</v>
      </c>
      <c r="JP87" s="7">
        <v>9378</v>
      </c>
      <c r="JQ87" s="7">
        <v>1999</v>
      </c>
      <c r="JR87" s="7">
        <v>1943</v>
      </c>
      <c r="JS87" s="7">
        <v>7195</v>
      </c>
      <c r="JT87" s="7">
        <v>1156</v>
      </c>
      <c r="JU87" s="151">
        <v>3344.5501001114767</v>
      </c>
      <c r="JV87" s="151">
        <v>6501.2410586760207</v>
      </c>
      <c r="JW87" s="151">
        <v>17.193030451132479</v>
      </c>
      <c r="JX87" s="151">
        <v>52.337607402712102</v>
      </c>
      <c r="JY87" s="7">
        <v>10038</v>
      </c>
      <c r="JZ87" s="7">
        <v>39708</v>
      </c>
      <c r="KA87" s="7">
        <v>58</v>
      </c>
      <c r="KB87" s="7">
        <v>579</v>
      </c>
      <c r="KC87" s="7">
        <v>11</v>
      </c>
      <c r="KD87" s="7">
        <v>0</v>
      </c>
      <c r="KE87" s="7">
        <v>3</v>
      </c>
      <c r="KF87" s="7">
        <v>1</v>
      </c>
      <c r="KG87" s="7">
        <v>326</v>
      </c>
      <c r="KH87" s="7">
        <v>2930</v>
      </c>
      <c r="KI87" s="7">
        <v>30428</v>
      </c>
      <c r="KJ87" s="7">
        <v>7016</v>
      </c>
      <c r="KK87" s="7">
        <v>134</v>
      </c>
      <c r="KL87" s="7">
        <v>13228</v>
      </c>
      <c r="KM87" s="7">
        <v>25713</v>
      </c>
      <c r="KN87" s="7">
        <v>68</v>
      </c>
      <c r="KO87" s="7">
        <v>207</v>
      </c>
      <c r="KP87" s="7">
        <v>39216</v>
      </c>
      <c r="KQ87" s="7">
        <v>1158</v>
      </c>
      <c r="KR87" s="7">
        <v>6011</v>
      </c>
      <c r="KS87" s="7">
        <v>6011</v>
      </c>
      <c r="KT87" s="7">
        <v>1119</v>
      </c>
      <c r="KU87" s="7">
        <v>382</v>
      </c>
      <c r="KV87" s="7">
        <v>1017</v>
      </c>
      <c r="KW87" s="7">
        <v>2</v>
      </c>
      <c r="KX87" s="7">
        <v>1195</v>
      </c>
      <c r="KY87" s="7">
        <v>392</v>
      </c>
      <c r="KZ87" s="7">
        <v>1025</v>
      </c>
      <c r="LA87" s="7">
        <v>2</v>
      </c>
      <c r="LB87" s="7">
        <v>3045</v>
      </c>
      <c r="LC87" s="7">
        <v>3094</v>
      </c>
      <c r="LD87" s="7">
        <v>891</v>
      </c>
      <c r="LE87" s="7">
        <v>1640</v>
      </c>
      <c r="LF87" s="7">
        <v>27500</v>
      </c>
      <c r="LG87" s="7">
        <v>36</v>
      </c>
      <c r="LH87" s="7">
        <v>4035</v>
      </c>
      <c r="LI87" s="7">
        <v>814</v>
      </c>
      <c r="LJ87" s="7">
        <v>2864</v>
      </c>
      <c r="LK87" s="7">
        <v>21</v>
      </c>
      <c r="LL87" s="7">
        <v>2712</v>
      </c>
      <c r="LM87" s="7">
        <v>1857</v>
      </c>
      <c r="LN87" s="7">
        <v>48</v>
      </c>
      <c r="LO87" s="7">
        <v>4610</v>
      </c>
      <c r="LP87" s="7">
        <v>803</v>
      </c>
      <c r="LQ87" s="7">
        <v>2812</v>
      </c>
      <c r="LR87" s="7">
        <v>33</v>
      </c>
      <c r="LS87" s="7">
        <v>2574</v>
      </c>
      <c r="LT87" s="7">
        <v>1555</v>
      </c>
      <c r="LU87" s="232">
        <v>7.8997772015000001</v>
      </c>
      <c r="LV87" s="232">
        <v>8.2953126176000005</v>
      </c>
      <c r="LW87" s="232">
        <v>7.5266183986000001</v>
      </c>
      <c r="LX87" s="7">
        <v>10241</v>
      </c>
      <c r="LY87" s="7">
        <v>40508</v>
      </c>
    </row>
    <row r="88" spans="1:337" x14ac:dyDescent="0.25">
      <c r="A88" t="s">
        <v>276</v>
      </c>
      <c r="B88" t="s">
        <v>277</v>
      </c>
      <c r="C88" s="7" t="s">
        <v>390</v>
      </c>
      <c r="D88" t="s">
        <v>358</v>
      </c>
      <c r="F88" t="e">
        <f t="shared" si="4"/>
        <v>#VALUE!</v>
      </c>
      <c r="G88" t="e">
        <f t="shared" si="5"/>
        <v>#VALUE!</v>
      </c>
      <c r="H88" t="s">
        <v>358</v>
      </c>
      <c r="I88" t="s">
        <v>358</v>
      </c>
      <c r="J88" t="s">
        <v>358</v>
      </c>
      <c r="K88" t="s">
        <v>358</v>
      </c>
      <c r="AP88" t="s">
        <v>358</v>
      </c>
      <c r="AQ88" t="s">
        <v>358</v>
      </c>
      <c r="AR88" t="s">
        <v>358</v>
      </c>
      <c r="AS88" t="s">
        <v>358</v>
      </c>
      <c r="AT88" t="s">
        <v>358</v>
      </c>
      <c r="AU88" s="7">
        <v>0</v>
      </c>
      <c r="AV88" s="7">
        <v>0</v>
      </c>
      <c r="AW88" s="7">
        <v>0</v>
      </c>
      <c r="AX88" s="7" t="s">
        <v>390</v>
      </c>
      <c r="AY88" s="7" t="s">
        <v>390</v>
      </c>
      <c r="AZ88" s="7" t="s">
        <v>390</v>
      </c>
      <c r="BA88" s="7" t="s">
        <v>390</v>
      </c>
      <c r="BB88" s="7">
        <v>103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  <c r="DW88" s="7">
        <v>0</v>
      </c>
      <c r="DX88" s="7">
        <v>0</v>
      </c>
      <c r="DY88" s="7">
        <v>0</v>
      </c>
      <c r="DZ88" s="7">
        <v>0</v>
      </c>
      <c r="EA88" s="7">
        <v>0</v>
      </c>
      <c r="EB88" s="7">
        <v>0</v>
      </c>
      <c r="EC88" s="7">
        <v>0</v>
      </c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  <c r="EO88" s="7">
        <v>0</v>
      </c>
      <c r="EP88" s="7">
        <v>0</v>
      </c>
      <c r="EQ88" s="7">
        <v>0</v>
      </c>
      <c r="ER88" s="7">
        <v>0</v>
      </c>
      <c r="ES88" s="7">
        <v>0</v>
      </c>
      <c r="ET88" s="7">
        <v>0</v>
      </c>
      <c r="EU88" s="7">
        <v>0</v>
      </c>
      <c r="EV88" s="7">
        <v>0</v>
      </c>
      <c r="EW88" s="134">
        <v>0</v>
      </c>
      <c r="EX88" s="134">
        <v>0</v>
      </c>
      <c r="EY88" s="134">
        <v>0</v>
      </c>
      <c r="EZ88" s="134">
        <v>0</v>
      </c>
      <c r="FA88" s="134">
        <v>0</v>
      </c>
      <c r="FB88" s="7">
        <v>0</v>
      </c>
      <c r="FC88" s="7">
        <v>0</v>
      </c>
      <c r="FD88" s="7">
        <v>0</v>
      </c>
      <c r="FE88" s="7">
        <v>0</v>
      </c>
      <c r="FF88" s="7">
        <v>0</v>
      </c>
      <c r="FG88" s="7">
        <v>0</v>
      </c>
      <c r="FH88" s="7">
        <v>0</v>
      </c>
      <c r="FI88" s="134">
        <v>0</v>
      </c>
      <c r="FJ88" s="134">
        <v>0</v>
      </c>
      <c r="FK88" s="134">
        <v>0</v>
      </c>
      <c r="FL88" s="134">
        <v>0</v>
      </c>
      <c r="FM88" s="151">
        <v>0</v>
      </c>
      <c r="FN88" s="151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0</v>
      </c>
      <c r="FV88" s="7">
        <v>0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0</v>
      </c>
      <c r="GE88" s="7">
        <v>0</v>
      </c>
      <c r="GF88" s="7">
        <v>0</v>
      </c>
      <c r="GG88" s="7">
        <v>0</v>
      </c>
      <c r="GH88" s="7">
        <v>0</v>
      </c>
      <c r="GI88" s="7">
        <v>0</v>
      </c>
      <c r="GJ88" s="7">
        <v>0</v>
      </c>
      <c r="GK88" s="7">
        <v>0</v>
      </c>
      <c r="GL88" s="7">
        <v>0</v>
      </c>
      <c r="GM88" s="7">
        <v>0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0</v>
      </c>
      <c r="HE88" s="7">
        <v>0</v>
      </c>
      <c r="HF88" s="7">
        <v>0</v>
      </c>
      <c r="HG88" s="7">
        <v>0</v>
      </c>
      <c r="HH88" s="7">
        <v>0</v>
      </c>
      <c r="HI88" s="7">
        <v>0</v>
      </c>
      <c r="HJ88" s="7">
        <v>0</v>
      </c>
      <c r="HK88" s="7">
        <v>0</v>
      </c>
      <c r="HL88" s="7">
        <v>0</v>
      </c>
      <c r="HM88" s="7">
        <v>0</v>
      </c>
      <c r="HN88" s="7">
        <v>0</v>
      </c>
      <c r="HO88" s="7">
        <v>0</v>
      </c>
      <c r="HP88" s="7">
        <v>0</v>
      </c>
      <c r="HQ88" s="7">
        <v>0</v>
      </c>
      <c r="HR88" s="7">
        <v>0</v>
      </c>
      <c r="HS88" s="7">
        <v>0</v>
      </c>
      <c r="HT88" s="7">
        <v>0</v>
      </c>
      <c r="HU88" s="7">
        <v>0</v>
      </c>
      <c r="HV88" s="7">
        <v>0</v>
      </c>
      <c r="HW88" s="7">
        <v>0</v>
      </c>
      <c r="HX88" s="7">
        <v>0</v>
      </c>
      <c r="HY88" s="7">
        <v>0</v>
      </c>
      <c r="HZ88" s="7">
        <v>0</v>
      </c>
      <c r="IA88" s="7">
        <v>0</v>
      </c>
      <c r="IB88" s="7">
        <v>0</v>
      </c>
      <c r="IC88" s="7">
        <v>0</v>
      </c>
      <c r="ID88" s="7">
        <v>0</v>
      </c>
      <c r="IE88" s="7">
        <v>0</v>
      </c>
      <c r="IF88" s="7">
        <v>0</v>
      </c>
      <c r="IG88" s="7">
        <v>0</v>
      </c>
      <c r="IH88" s="7">
        <v>0</v>
      </c>
      <c r="II88" s="7">
        <v>0</v>
      </c>
      <c r="IJ88" s="7">
        <v>0</v>
      </c>
      <c r="IK88" s="7">
        <v>0</v>
      </c>
      <c r="IL88" s="7">
        <v>0</v>
      </c>
      <c r="IM88" s="7">
        <v>0</v>
      </c>
      <c r="IN88" s="7">
        <v>0</v>
      </c>
      <c r="IO88" s="7">
        <v>0</v>
      </c>
      <c r="IP88" s="7">
        <v>0</v>
      </c>
      <c r="IQ88" s="7">
        <v>0</v>
      </c>
      <c r="IR88" s="7">
        <v>0</v>
      </c>
      <c r="IS88" s="7">
        <v>0</v>
      </c>
      <c r="IT88" s="7">
        <v>0</v>
      </c>
      <c r="IU88" s="7">
        <v>0</v>
      </c>
      <c r="IV88" s="7">
        <v>0</v>
      </c>
      <c r="IW88" s="7">
        <v>0</v>
      </c>
      <c r="IX88" s="7">
        <v>0</v>
      </c>
      <c r="IY88" s="7">
        <v>0</v>
      </c>
      <c r="IZ88" s="7">
        <v>0</v>
      </c>
      <c r="JA88" s="7">
        <v>0</v>
      </c>
      <c r="JB88" s="7">
        <v>0</v>
      </c>
      <c r="JC88" s="7">
        <v>0</v>
      </c>
      <c r="JD88" s="7">
        <v>0</v>
      </c>
      <c r="JE88" s="7">
        <v>0</v>
      </c>
      <c r="JF88" s="151">
        <v>0</v>
      </c>
      <c r="JG88" s="151">
        <v>0</v>
      </c>
      <c r="JH88" s="7">
        <v>0</v>
      </c>
      <c r="JI88" s="7">
        <v>0</v>
      </c>
      <c r="JJ88" s="7">
        <v>0</v>
      </c>
      <c r="JK88" s="7">
        <v>0</v>
      </c>
      <c r="JL88" s="7">
        <v>0</v>
      </c>
      <c r="JM88" s="7">
        <v>0</v>
      </c>
      <c r="JN88" s="7">
        <v>0</v>
      </c>
      <c r="JO88" s="7">
        <v>0</v>
      </c>
      <c r="JP88" s="7">
        <v>0</v>
      </c>
      <c r="JQ88" s="7">
        <v>0</v>
      </c>
      <c r="JR88" s="7">
        <v>0</v>
      </c>
      <c r="JS88" s="7">
        <v>0</v>
      </c>
      <c r="JT88" s="7">
        <v>0</v>
      </c>
      <c r="JU88" s="151">
        <v>0</v>
      </c>
      <c r="JV88" s="151">
        <v>0</v>
      </c>
      <c r="JW88" s="151">
        <v>0</v>
      </c>
      <c r="JX88" s="151">
        <v>0</v>
      </c>
      <c r="JY88" s="7">
        <v>0</v>
      </c>
      <c r="JZ88" s="7">
        <v>0</v>
      </c>
      <c r="KA88" s="7">
        <v>0</v>
      </c>
      <c r="KB88" s="7">
        <v>0</v>
      </c>
      <c r="KC88" s="7">
        <v>0</v>
      </c>
      <c r="KD88" s="7">
        <v>0</v>
      </c>
      <c r="KE88" s="7">
        <v>0</v>
      </c>
      <c r="KF88" s="7">
        <v>0</v>
      </c>
      <c r="KG88" s="7">
        <v>0</v>
      </c>
      <c r="KH88" s="7">
        <v>0</v>
      </c>
      <c r="KI88" s="7">
        <v>0</v>
      </c>
      <c r="KJ88" s="7">
        <v>0</v>
      </c>
      <c r="KK88" s="7">
        <v>0</v>
      </c>
      <c r="KL88" s="7">
        <v>0</v>
      </c>
      <c r="KM88" s="7">
        <v>0</v>
      </c>
      <c r="KN88" s="7">
        <v>0</v>
      </c>
      <c r="KO88" s="7">
        <v>0</v>
      </c>
      <c r="KP88" s="7">
        <v>0</v>
      </c>
      <c r="KQ88" s="7">
        <v>0</v>
      </c>
      <c r="KR88" s="7">
        <v>0</v>
      </c>
      <c r="KS88" s="7">
        <v>0</v>
      </c>
      <c r="KT88" s="7">
        <v>0</v>
      </c>
      <c r="KU88" s="7">
        <v>0</v>
      </c>
      <c r="KV88" s="7">
        <v>0</v>
      </c>
      <c r="KW88" s="7">
        <v>0</v>
      </c>
      <c r="KX88" s="7">
        <v>0</v>
      </c>
      <c r="KY88" s="7">
        <v>0</v>
      </c>
      <c r="KZ88" s="7">
        <v>0</v>
      </c>
      <c r="LA88" s="7">
        <v>0</v>
      </c>
      <c r="LB88" s="7">
        <v>0</v>
      </c>
      <c r="LC88" s="7">
        <v>0</v>
      </c>
      <c r="LD88" s="7">
        <v>0</v>
      </c>
      <c r="LE88" s="7">
        <v>0</v>
      </c>
      <c r="LF88" s="7">
        <v>0</v>
      </c>
      <c r="LG88" s="7">
        <v>0</v>
      </c>
      <c r="LH88" s="7">
        <v>0</v>
      </c>
      <c r="LI88" s="7">
        <v>0</v>
      </c>
      <c r="LJ88" s="7">
        <v>0</v>
      </c>
      <c r="LK88" s="7">
        <v>0</v>
      </c>
      <c r="LL88" s="7">
        <v>0</v>
      </c>
      <c r="LM88" s="7">
        <v>0</v>
      </c>
      <c r="LN88" s="7">
        <v>0</v>
      </c>
      <c r="LO88" s="7">
        <v>0</v>
      </c>
      <c r="LP88" s="7">
        <v>0</v>
      </c>
      <c r="LQ88" s="7">
        <v>0</v>
      </c>
      <c r="LR88" s="7">
        <v>0</v>
      </c>
      <c r="LS88" s="7">
        <v>0</v>
      </c>
      <c r="LT88" s="7">
        <v>0</v>
      </c>
      <c r="LU88" s="232">
        <v>0</v>
      </c>
      <c r="LV88" s="232">
        <v>0</v>
      </c>
      <c r="LW88" s="232">
        <v>0</v>
      </c>
      <c r="LX88" s="7">
        <v>0</v>
      </c>
      <c r="LY88" s="7">
        <v>0</v>
      </c>
    </row>
    <row r="89" spans="1:337" x14ac:dyDescent="0.25">
      <c r="A89" t="s">
        <v>188</v>
      </c>
      <c r="B89" t="s">
        <v>189</v>
      </c>
      <c r="C89" s="7">
        <v>21156</v>
      </c>
      <c r="D89">
        <v>25187</v>
      </c>
      <c r="F89">
        <f t="shared" si="4"/>
        <v>-25187</v>
      </c>
      <c r="G89">
        <f t="shared" si="5"/>
        <v>-100</v>
      </c>
      <c r="H89">
        <v>12606</v>
      </c>
      <c r="I89">
        <v>12581</v>
      </c>
      <c r="J89">
        <v>3052</v>
      </c>
      <c r="K89">
        <v>22135</v>
      </c>
      <c r="L89" s="7">
        <v>1485</v>
      </c>
      <c r="M89" s="7">
        <v>1601</v>
      </c>
      <c r="N89" s="7">
        <v>1778</v>
      </c>
      <c r="O89" s="7">
        <v>1615</v>
      </c>
      <c r="P89" s="7">
        <v>1106</v>
      </c>
      <c r="Q89" s="7">
        <v>922</v>
      </c>
      <c r="R89" s="7">
        <v>806</v>
      </c>
      <c r="S89" s="7">
        <v>712</v>
      </c>
      <c r="T89" s="7">
        <v>470</v>
      </c>
      <c r="U89" s="7">
        <v>434</v>
      </c>
      <c r="V89" s="7">
        <v>390</v>
      </c>
      <c r="W89" s="7">
        <v>332</v>
      </c>
      <c r="X89" s="7">
        <v>284</v>
      </c>
      <c r="Y89" s="7">
        <v>500</v>
      </c>
      <c r="Z89" s="7">
        <v>171</v>
      </c>
      <c r="AA89" s="7">
        <v>1525</v>
      </c>
      <c r="AB89" s="7">
        <v>1564</v>
      </c>
      <c r="AC89" s="7">
        <v>1622</v>
      </c>
      <c r="AD89" s="7">
        <v>1602</v>
      </c>
      <c r="AE89" s="7">
        <v>1217</v>
      </c>
      <c r="AF89" s="7">
        <v>942</v>
      </c>
      <c r="AG89" s="7">
        <v>851</v>
      </c>
      <c r="AH89" s="7">
        <v>721</v>
      </c>
      <c r="AI89" s="7">
        <v>490</v>
      </c>
      <c r="AJ89" s="7">
        <v>450</v>
      </c>
      <c r="AK89" s="7">
        <v>360</v>
      </c>
      <c r="AL89" s="7">
        <v>328</v>
      </c>
      <c r="AM89" s="7">
        <v>260</v>
      </c>
      <c r="AN89" s="7">
        <v>476</v>
      </c>
      <c r="AO89" s="7">
        <v>173</v>
      </c>
      <c r="AP89">
        <v>24781</v>
      </c>
      <c r="AQ89">
        <v>25</v>
      </c>
      <c r="AR89">
        <v>10</v>
      </c>
      <c r="AS89" t="s">
        <v>358</v>
      </c>
      <c r="AT89">
        <v>371</v>
      </c>
      <c r="AU89" s="7">
        <v>18043</v>
      </c>
      <c r="AV89" s="7">
        <v>9038</v>
      </c>
      <c r="AW89" s="7">
        <v>9005</v>
      </c>
      <c r="AX89" s="7">
        <v>13480</v>
      </c>
      <c r="AY89" s="7">
        <v>18043</v>
      </c>
      <c r="AZ89" s="7">
        <v>16869</v>
      </c>
      <c r="BA89" s="7">
        <v>1174</v>
      </c>
      <c r="BB89" s="7">
        <v>420</v>
      </c>
      <c r="BC89" s="7">
        <v>408</v>
      </c>
      <c r="BD89" s="7">
        <v>1146</v>
      </c>
      <c r="BE89" s="7">
        <v>1139</v>
      </c>
      <c r="BF89" s="7">
        <v>1324</v>
      </c>
      <c r="BG89" s="7">
        <v>1207</v>
      </c>
      <c r="BH89" s="7">
        <v>1201</v>
      </c>
      <c r="BI89" s="7">
        <v>1213</v>
      </c>
      <c r="BJ89" s="7">
        <v>861</v>
      </c>
      <c r="BK89" s="7">
        <v>936</v>
      </c>
      <c r="BL89" s="7">
        <v>732</v>
      </c>
      <c r="BM89" s="7">
        <v>746</v>
      </c>
      <c r="BN89" s="7">
        <v>656</v>
      </c>
      <c r="BO89" s="7">
        <v>678</v>
      </c>
      <c r="BP89" s="7">
        <v>588</v>
      </c>
      <c r="BQ89" s="7">
        <v>593</v>
      </c>
      <c r="BR89" s="7">
        <v>387</v>
      </c>
      <c r="BS89" s="7">
        <v>419</v>
      </c>
      <c r="BT89" s="7">
        <v>366</v>
      </c>
      <c r="BU89" s="7">
        <v>389</v>
      </c>
      <c r="BV89" s="7">
        <v>346</v>
      </c>
      <c r="BW89" s="7">
        <v>319</v>
      </c>
      <c r="BX89" s="7">
        <v>295</v>
      </c>
      <c r="BY89" s="7">
        <v>293</v>
      </c>
      <c r="BZ89" s="7">
        <v>263</v>
      </c>
      <c r="CA89" s="7">
        <v>242</v>
      </c>
      <c r="CB89" s="7">
        <v>453</v>
      </c>
      <c r="CC89" s="7">
        <v>423</v>
      </c>
      <c r="CD89" s="7">
        <v>7947</v>
      </c>
      <c r="CE89" s="7">
        <v>7071</v>
      </c>
      <c r="CF89" s="7">
        <v>1069</v>
      </c>
      <c r="CG89" s="7">
        <v>1902</v>
      </c>
      <c r="CH89" s="7">
        <v>4653</v>
      </c>
      <c r="CI89" s="7">
        <v>506</v>
      </c>
      <c r="CJ89" s="7">
        <v>23063</v>
      </c>
      <c r="CK89" s="7">
        <v>1785</v>
      </c>
      <c r="CL89" s="7">
        <v>151</v>
      </c>
      <c r="CM89" s="7">
        <v>523</v>
      </c>
      <c r="CN89" s="7">
        <v>778</v>
      </c>
      <c r="CO89" s="7">
        <v>1127</v>
      </c>
      <c r="CP89" s="7">
        <v>898</v>
      </c>
      <c r="CQ89" s="7">
        <v>1682</v>
      </c>
      <c r="CR89" s="7">
        <v>4464</v>
      </c>
      <c r="CS89" s="7">
        <v>13208</v>
      </c>
      <c r="CT89" s="7">
        <v>843</v>
      </c>
      <c r="CU89" s="7">
        <v>337</v>
      </c>
      <c r="CV89" s="7">
        <v>261</v>
      </c>
      <c r="CW89" s="7">
        <v>478</v>
      </c>
      <c r="CX89" s="7">
        <v>12</v>
      </c>
      <c r="CY89" s="7">
        <v>17963</v>
      </c>
      <c r="CZ89" s="7">
        <v>6225</v>
      </c>
      <c r="DA89" s="7">
        <v>48</v>
      </c>
      <c r="DB89" s="7">
        <v>151</v>
      </c>
      <c r="DC89" s="7">
        <v>3</v>
      </c>
      <c r="DD89" s="7">
        <v>3463</v>
      </c>
      <c r="DE89" s="7">
        <v>3535</v>
      </c>
      <c r="DF89" s="7">
        <v>15137</v>
      </c>
      <c r="DG89" s="7">
        <v>3052</v>
      </c>
      <c r="DH89" s="7">
        <v>0</v>
      </c>
      <c r="DI89" s="7">
        <v>0</v>
      </c>
      <c r="DJ89" s="7">
        <v>0</v>
      </c>
      <c r="DK89" s="7">
        <v>0</v>
      </c>
      <c r="DL89" s="7">
        <v>45</v>
      </c>
      <c r="DM89" s="7">
        <v>10</v>
      </c>
      <c r="DN89" s="7">
        <v>14</v>
      </c>
      <c r="DO89" s="7">
        <v>1</v>
      </c>
      <c r="DP89" s="7">
        <v>0</v>
      </c>
      <c r="DQ89" s="7">
        <v>0</v>
      </c>
      <c r="DR89" s="7">
        <v>0</v>
      </c>
      <c r="DS89" s="7">
        <v>0</v>
      </c>
      <c r="DT89" s="7">
        <v>68</v>
      </c>
      <c r="DU89" s="7">
        <v>80</v>
      </c>
      <c r="DV89" s="7">
        <v>39</v>
      </c>
      <c r="DW89" s="7">
        <v>22</v>
      </c>
      <c r="DX89" s="7">
        <v>14</v>
      </c>
      <c r="DY89" s="7">
        <v>8</v>
      </c>
      <c r="DZ89" s="7">
        <v>26</v>
      </c>
      <c r="EA89" s="7">
        <v>23</v>
      </c>
      <c r="EB89" s="7">
        <v>4</v>
      </c>
      <c r="EC89" s="7">
        <v>2</v>
      </c>
      <c r="ED89" s="7">
        <v>10</v>
      </c>
      <c r="EE89" s="7">
        <v>4</v>
      </c>
      <c r="EF89" s="7">
        <v>36</v>
      </c>
      <c r="EG89" s="7">
        <v>19</v>
      </c>
      <c r="EH89" s="7">
        <v>108</v>
      </c>
      <c r="EI89" s="7">
        <v>38</v>
      </c>
      <c r="EJ89" s="7">
        <v>16</v>
      </c>
      <c r="EK89" s="7">
        <v>22</v>
      </c>
      <c r="EL89" s="7">
        <v>4</v>
      </c>
      <c r="EM89" s="7">
        <v>7</v>
      </c>
      <c r="EN89" s="7">
        <v>30</v>
      </c>
      <c r="EO89" s="7">
        <v>6414</v>
      </c>
      <c r="EP89" s="7">
        <v>6334</v>
      </c>
      <c r="EQ89" s="7">
        <v>80</v>
      </c>
      <c r="ER89" s="7">
        <v>2203</v>
      </c>
      <c r="ES89" s="7">
        <v>435</v>
      </c>
      <c r="ET89" s="7">
        <v>412</v>
      </c>
      <c r="EU89" s="7">
        <v>23</v>
      </c>
      <c r="EV89" s="7">
        <v>8155</v>
      </c>
      <c r="EW89" s="134">
        <v>89.818341634999996</v>
      </c>
      <c r="EX89" s="134">
        <v>2.7688250806000001</v>
      </c>
      <c r="EY89" s="134">
        <v>1.6407852328999999</v>
      </c>
      <c r="EZ89" s="134">
        <v>5.1421037210999998</v>
      </c>
      <c r="FA89" s="134">
        <v>0.62994433049999998</v>
      </c>
      <c r="FB89" s="7">
        <v>885</v>
      </c>
      <c r="FC89" s="7">
        <v>3508</v>
      </c>
      <c r="FD89" s="7">
        <v>331</v>
      </c>
      <c r="FE89" s="7">
        <v>1230</v>
      </c>
      <c r="FF89" s="7">
        <v>2</v>
      </c>
      <c r="FG89" s="7">
        <v>753</v>
      </c>
      <c r="FH89" s="7">
        <v>134</v>
      </c>
      <c r="FI89" s="134">
        <v>90.594784646999997</v>
      </c>
      <c r="FJ89" s="134">
        <v>3.1057720481</v>
      </c>
      <c r="FK89" s="134">
        <v>3.1936712570000001</v>
      </c>
      <c r="FL89" s="134">
        <v>3.1057720481</v>
      </c>
      <c r="FM89" s="151">
        <v>6498</v>
      </c>
      <c r="FN89" s="151">
        <v>5904</v>
      </c>
      <c r="FO89" s="7">
        <v>597</v>
      </c>
      <c r="FP89" s="7">
        <v>51</v>
      </c>
      <c r="FQ89" s="7">
        <v>18</v>
      </c>
      <c r="FR89" s="7">
        <v>8</v>
      </c>
      <c r="FS89" s="7">
        <v>5798</v>
      </c>
      <c r="FT89" s="7">
        <v>4</v>
      </c>
      <c r="FU89" s="7">
        <v>28</v>
      </c>
      <c r="FV89" s="7">
        <v>204</v>
      </c>
      <c r="FW89" s="7">
        <v>6696</v>
      </c>
      <c r="FX89" s="7">
        <v>5677</v>
      </c>
      <c r="FY89" s="7">
        <v>633</v>
      </c>
      <c r="FZ89" s="7">
        <v>40</v>
      </c>
      <c r="GA89" s="7">
        <v>25</v>
      </c>
      <c r="GB89" s="7">
        <v>8</v>
      </c>
      <c r="GC89" s="7">
        <v>5963</v>
      </c>
      <c r="GD89" s="7">
        <v>2</v>
      </c>
      <c r="GE89" s="7">
        <v>30</v>
      </c>
      <c r="GF89" s="7">
        <v>208</v>
      </c>
      <c r="GG89" s="7">
        <v>690</v>
      </c>
      <c r="GH89" s="7">
        <v>831</v>
      </c>
      <c r="GI89" s="7">
        <v>931</v>
      </c>
      <c r="GJ89" s="7">
        <v>764</v>
      </c>
      <c r="GK89" s="7">
        <v>484</v>
      </c>
      <c r="GL89" s="7">
        <v>462</v>
      </c>
      <c r="GM89" s="7">
        <v>445</v>
      </c>
      <c r="GN89" s="7">
        <v>418</v>
      </c>
      <c r="GO89" s="7">
        <v>278</v>
      </c>
      <c r="GP89" s="7">
        <v>266</v>
      </c>
      <c r="GQ89" s="7">
        <v>220</v>
      </c>
      <c r="GR89" s="7">
        <v>192</v>
      </c>
      <c r="GS89" s="7">
        <v>157</v>
      </c>
      <c r="GT89" s="7">
        <v>119</v>
      </c>
      <c r="GU89" s="7">
        <v>121</v>
      </c>
      <c r="GV89" s="7">
        <v>56</v>
      </c>
      <c r="GW89" s="7">
        <v>28</v>
      </c>
      <c r="GX89" s="7">
        <v>34</v>
      </c>
      <c r="GY89" s="7">
        <v>657</v>
      </c>
      <c r="GZ89" s="7">
        <v>789</v>
      </c>
      <c r="HA89" s="7">
        <v>839</v>
      </c>
      <c r="HB89" s="7">
        <v>792</v>
      </c>
      <c r="HC89" s="7">
        <v>599</v>
      </c>
      <c r="HD89" s="7">
        <v>552</v>
      </c>
      <c r="HE89" s="7">
        <v>524</v>
      </c>
      <c r="HF89" s="7">
        <v>445</v>
      </c>
      <c r="HG89" s="7">
        <v>296</v>
      </c>
      <c r="HH89" s="7">
        <v>273</v>
      </c>
      <c r="HI89" s="7">
        <v>224</v>
      </c>
      <c r="HJ89" s="7">
        <v>212</v>
      </c>
      <c r="HK89" s="7">
        <v>170</v>
      </c>
      <c r="HL89" s="7">
        <v>110</v>
      </c>
      <c r="HM89" s="7">
        <v>98</v>
      </c>
      <c r="HN89" s="7">
        <v>54</v>
      </c>
      <c r="HO89" s="7">
        <v>26</v>
      </c>
      <c r="HP89" s="7">
        <v>35</v>
      </c>
      <c r="HQ89" s="7">
        <v>5134</v>
      </c>
      <c r="HR89" s="7">
        <v>0</v>
      </c>
      <c r="HS89" s="7">
        <v>1</v>
      </c>
      <c r="HT89" s="7">
        <v>9</v>
      </c>
      <c r="HU89" s="7">
        <v>0</v>
      </c>
      <c r="HV89" s="7">
        <v>0</v>
      </c>
      <c r="HW89" s="7">
        <v>0</v>
      </c>
      <c r="HX89" s="7">
        <v>128</v>
      </c>
      <c r="HY89" s="7">
        <v>151</v>
      </c>
      <c r="HZ89" s="7">
        <v>523</v>
      </c>
      <c r="IA89" s="7">
        <v>778</v>
      </c>
      <c r="IB89" s="7">
        <v>1127</v>
      </c>
      <c r="IC89" s="7">
        <v>898</v>
      </c>
      <c r="ID89" s="7">
        <v>677</v>
      </c>
      <c r="IE89" s="7">
        <v>439</v>
      </c>
      <c r="IF89" s="7">
        <v>246</v>
      </c>
      <c r="IG89" s="7">
        <v>320</v>
      </c>
      <c r="IH89" s="7">
        <v>462</v>
      </c>
      <c r="II89" s="7">
        <v>2697</v>
      </c>
      <c r="IJ89" s="7">
        <v>1295</v>
      </c>
      <c r="IK89" s="7">
        <v>479</v>
      </c>
      <c r="IL89" s="7">
        <v>131</v>
      </c>
      <c r="IM89" s="7">
        <v>43</v>
      </c>
      <c r="IN89" s="7">
        <v>8</v>
      </c>
      <c r="IO89" s="7">
        <v>4</v>
      </c>
      <c r="IP89" s="7">
        <v>1</v>
      </c>
      <c r="IQ89" s="7">
        <v>3328</v>
      </c>
      <c r="IR89" s="7">
        <v>1342</v>
      </c>
      <c r="IS89" s="7">
        <v>352</v>
      </c>
      <c r="IT89" s="7">
        <v>81</v>
      </c>
      <c r="IU89" s="7">
        <v>19</v>
      </c>
      <c r="IV89" s="7">
        <v>857</v>
      </c>
      <c r="IW89" s="7">
        <v>2916</v>
      </c>
      <c r="IX89" s="7">
        <v>33</v>
      </c>
      <c r="IY89" s="7">
        <v>97</v>
      </c>
      <c r="IZ89" s="7">
        <v>2</v>
      </c>
      <c r="JA89" s="7">
        <v>1208</v>
      </c>
      <c r="JB89" s="7">
        <v>1838</v>
      </c>
      <c r="JC89" s="7">
        <v>327</v>
      </c>
      <c r="JD89" s="7">
        <v>294</v>
      </c>
      <c r="JE89" s="7">
        <v>861</v>
      </c>
      <c r="JF89" s="151">
        <v>4787.5639191377368</v>
      </c>
      <c r="JG89" s="151">
        <v>337.17870699855519</v>
      </c>
      <c r="JH89" s="7">
        <v>847</v>
      </c>
      <c r="JI89" s="7">
        <v>4264</v>
      </c>
      <c r="JJ89" s="7">
        <v>24</v>
      </c>
      <c r="JK89" s="7">
        <v>24</v>
      </c>
      <c r="JL89" s="7">
        <v>1109</v>
      </c>
      <c r="JM89" s="7">
        <v>139</v>
      </c>
      <c r="JN89" s="7">
        <v>111</v>
      </c>
      <c r="JO89" s="7">
        <v>2170</v>
      </c>
      <c r="JP89" s="7">
        <v>2498</v>
      </c>
      <c r="JQ89" s="7">
        <v>49</v>
      </c>
      <c r="JR89" s="7">
        <v>47</v>
      </c>
      <c r="JS89" s="7">
        <v>222</v>
      </c>
      <c r="JT89" s="7">
        <v>15</v>
      </c>
      <c r="JU89" s="151">
        <v>183.33054081263808</v>
      </c>
      <c r="JV89" s="151">
        <v>2438.9398221133174</v>
      </c>
      <c r="JW89" s="151">
        <v>2141.6246075677936</v>
      </c>
      <c r="JX89" s="151">
        <v>23.66894864398725</v>
      </c>
      <c r="JY89" s="7">
        <v>4648</v>
      </c>
      <c r="JZ89" s="7">
        <v>24737</v>
      </c>
      <c r="KA89" s="7">
        <v>0</v>
      </c>
      <c r="KB89" s="7">
        <v>1</v>
      </c>
      <c r="KC89" s="7">
        <v>44</v>
      </c>
      <c r="KD89" s="7">
        <v>0</v>
      </c>
      <c r="KE89" s="7">
        <v>0</v>
      </c>
      <c r="KF89" s="7">
        <v>0</v>
      </c>
      <c r="KG89" s="7">
        <v>405</v>
      </c>
      <c r="KH89" s="7">
        <v>3878</v>
      </c>
      <c r="KI89" s="7">
        <v>20765</v>
      </c>
      <c r="KJ89" s="7">
        <v>105</v>
      </c>
      <c r="KK89" s="7">
        <v>100</v>
      </c>
      <c r="KL89" s="7">
        <v>883</v>
      </c>
      <c r="KM89" s="7">
        <v>11747</v>
      </c>
      <c r="KN89" s="7">
        <v>10315</v>
      </c>
      <c r="KO89" s="7">
        <v>114</v>
      </c>
      <c r="KP89" s="7">
        <v>23059</v>
      </c>
      <c r="KQ89" s="7">
        <v>1624</v>
      </c>
      <c r="KR89" s="7">
        <v>4491</v>
      </c>
      <c r="KS89" s="7">
        <v>4491</v>
      </c>
      <c r="KT89" s="7">
        <v>868</v>
      </c>
      <c r="KU89" s="7">
        <v>323</v>
      </c>
      <c r="KV89" s="7">
        <v>870</v>
      </c>
      <c r="KW89" s="7">
        <v>1</v>
      </c>
      <c r="KX89" s="7">
        <v>877</v>
      </c>
      <c r="KY89" s="7">
        <v>271</v>
      </c>
      <c r="KZ89" s="7">
        <v>783</v>
      </c>
      <c r="LA89" s="7">
        <v>3</v>
      </c>
      <c r="LB89" s="7">
        <v>2307</v>
      </c>
      <c r="LC89" s="7">
        <v>2149</v>
      </c>
      <c r="LD89" s="7">
        <v>1241</v>
      </c>
      <c r="LE89" s="7">
        <v>2433</v>
      </c>
      <c r="LF89" s="7">
        <v>15268</v>
      </c>
      <c r="LG89" s="7">
        <v>22</v>
      </c>
      <c r="LH89" s="7">
        <v>3456</v>
      </c>
      <c r="LI89" s="7">
        <v>615</v>
      </c>
      <c r="LJ89" s="7">
        <v>1346</v>
      </c>
      <c r="LK89" s="7">
        <v>2</v>
      </c>
      <c r="LL89" s="7">
        <v>1066</v>
      </c>
      <c r="LM89" s="7">
        <v>158</v>
      </c>
      <c r="LN89" s="7">
        <v>31</v>
      </c>
      <c r="LO89" s="7">
        <v>3324</v>
      </c>
      <c r="LP89" s="7">
        <v>565</v>
      </c>
      <c r="LQ89" s="7">
        <v>1175</v>
      </c>
      <c r="LR89" s="7">
        <v>5</v>
      </c>
      <c r="LS89" s="7">
        <v>764</v>
      </c>
      <c r="LT89" s="7">
        <v>73</v>
      </c>
      <c r="LU89" s="232">
        <v>5.4243578794999996</v>
      </c>
      <c r="LV89" s="232">
        <v>5.9936356404</v>
      </c>
      <c r="LW89" s="232">
        <v>4.8653821116999998</v>
      </c>
      <c r="LX89" s="7">
        <v>5159</v>
      </c>
      <c r="LY89" s="7">
        <v>24848</v>
      </c>
    </row>
    <row r="90" spans="1:337" x14ac:dyDescent="0.25">
      <c r="A90" t="s">
        <v>190</v>
      </c>
      <c r="B90" t="s">
        <v>191</v>
      </c>
      <c r="C90" s="7">
        <v>49300</v>
      </c>
      <c r="D90">
        <v>57253</v>
      </c>
      <c r="F90">
        <f t="shared" si="4"/>
        <v>-57253</v>
      </c>
      <c r="G90">
        <f t="shared" si="5"/>
        <v>-100</v>
      </c>
      <c r="H90">
        <v>28433</v>
      </c>
      <c r="I90">
        <v>28820</v>
      </c>
      <c r="J90">
        <v>5199</v>
      </c>
      <c r="K90">
        <v>52054</v>
      </c>
      <c r="L90" s="7">
        <v>3358</v>
      </c>
      <c r="M90" s="7">
        <v>3723</v>
      </c>
      <c r="N90" s="7">
        <v>3885</v>
      </c>
      <c r="O90" s="7">
        <v>3404</v>
      </c>
      <c r="P90" s="7">
        <v>2393</v>
      </c>
      <c r="Q90" s="7">
        <v>1887</v>
      </c>
      <c r="R90" s="7">
        <v>1687</v>
      </c>
      <c r="S90" s="7">
        <v>1682</v>
      </c>
      <c r="T90" s="7">
        <v>1263</v>
      </c>
      <c r="U90" s="7">
        <v>1179</v>
      </c>
      <c r="V90" s="7">
        <v>1027</v>
      </c>
      <c r="W90" s="7">
        <v>697</v>
      </c>
      <c r="X90" s="7">
        <v>664</v>
      </c>
      <c r="Y90" s="7">
        <v>1321</v>
      </c>
      <c r="Z90" s="7">
        <v>263</v>
      </c>
      <c r="AA90" s="7">
        <v>3332</v>
      </c>
      <c r="AB90" s="7">
        <v>3587</v>
      </c>
      <c r="AC90" s="7">
        <v>3606</v>
      </c>
      <c r="AD90" s="7">
        <v>3422</v>
      </c>
      <c r="AE90" s="7">
        <v>2608</v>
      </c>
      <c r="AF90" s="7">
        <v>2145</v>
      </c>
      <c r="AG90" s="7">
        <v>1907</v>
      </c>
      <c r="AH90" s="7">
        <v>1912</v>
      </c>
      <c r="AI90" s="7">
        <v>1333</v>
      </c>
      <c r="AJ90" s="7">
        <v>1244</v>
      </c>
      <c r="AK90" s="7">
        <v>957</v>
      </c>
      <c r="AL90" s="7">
        <v>731</v>
      </c>
      <c r="AM90" s="7">
        <v>644</v>
      </c>
      <c r="AN90" s="7">
        <v>1129</v>
      </c>
      <c r="AO90" s="7">
        <v>263</v>
      </c>
      <c r="AP90">
        <v>55417</v>
      </c>
      <c r="AQ90">
        <v>1104</v>
      </c>
      <c r="AR90">
        <v>9</v>
      </c>
      <c r="AS90">
        <v>9</v>
      </c>
      <c r="AT90">
        <v>714</v>
      </c>
      <c r="AU90" s="7">
        <v>44407</v>
      </c>
      <c r="AV90" s="7">
        <v>22155</v>
      </c>
      <c r="AW90" s="7">
        <v>22252</v>
      </c>
      <c r="AX90" s="7">
        <v>34108</v>
      </c>
      <c r="AY90" s="7">
        <v>44407</v>
      </c>
      <c r="AZ90" s="7">
        <v>43389</v>
      </c>
      <c r="BA90" s="7">
        <v>1018</v>
      </c>
      <c r="BB90" s="7">
        <v>1168</v>
      </c>
      <c r="BC90" s="7">
        <v>1164</v>
      </c>
      <c r="BD90" s="7">
        <v>3096</v>
      </c>
      <c r="BE90" s="7">
        <v>3031</v>
      </c>
      <c r="BF90" s="7">
        <v>3335</v>
      </c>
      <c r="BG90" s="7">
        <v>3062</v>
      </c>
      <c r="BH90" s="7">
        <v>2888</v>
      </c>
      <c r="BI90" s="7">
        <v>2910</v>
      </c>
      <c r="BJ90" s="7">
        <v>2066</v>
      </c>
      <c r="BK90" s="7">
        <v>2167</v>
      </c>
      <c r="BL90" s="7">
        <v>1594</v>
      </c>
      <c r="BM90" s="7">
        <v>1807</v>
      </c>
      <c r="BN90" s="7">
        <v>1415</v>
      </c>
      <c r="BO90" s="7">
        <v>1551</v>
      </c>
      <c r="BP90" s="7">
        <v>1424</v>
      </c>
      <c r="BQ90" s="7">
        <v>1597</v>
      </c>
      <c r="BR90" s="7">
        <v>1056</v>
      </c>
      <c r="BS90" s="7">
        <v>1096</v>
      </c>
      <c r="BT90" s="7">
        <v>1009</v>
      </c>
      <c r="BU90" s="7">
        <v>1055</v>
      </c>
      <c r="BV90" s="7">
        <v>867</v>
      </c>
      <c r="BW90" s="7">
        <v>789</v>
      </c>
      <c r="BX90" s="7">
        <v>583</v>
      </c>
      <c r="BY90" s="7">
        <v>585</v>
      </c>
      <c r="BZ90" s="7">
        <v>562</v>
      </c>
      <c r="CA90" s="7">
        <v>540</v>
      </c>
      <c r="CB90" s="7">
        <v>1092</v>
      </c>
      <c r="CC90" s="7">
        <v>898</v>
      </c>
      <c r="CD90" s="7">
        <v>17046</v>
      </c>
      <c r="CE90" s="7">
        <v>13197</v>
      </c>
      <c r="CF90" s="7">
        <v>4985</v>
      </c>
      <c r="CG90" s="7">
        <v>8919</v>
      </c>
      <c r="CH90" s="7">
        <v>10076</v>
      </c>
      <c r="CI90" s="7">
        <v>1226</v>
      </c>
      <c r="CJ90" s="7">
        <v>52067</v>
      </c>
      <c r="CK90" s="7">
        <v>4664</v>
      </c>
      <c r="CL90" s="7">
        <v>365</v>
      </c>
      <c r="CM90" s="7">
        <v>1132</v>
      </c>
      <c r="CN90" s="7">
        <v>1637</v>
      </c>
      <c r="CO90" s="7">
        <v>2048</v>
      </c>
      <c r="CP90" s="7">
        <v>1915</v>
      </c>
      <c r="CQ90" s="7">
        <v>4205</v>
      </c>
      <c r="CR90" s="7">
        <v>9713</v>
      </c>
      <c r="CS90" s="7">
        <v>30466</v>
      </c>
      <c r="CT90" s="7">
        <v>2202</v>
      </c>
      <c r="CU90" s="7">
        <v>947</v>
      </c>
      <c r="CV90" s="7">
        <v>549</v>
      </c>
      <c r="CW90" s="7">
        <v>1317</v>
      </c>
      <c r="CX90" s="7">
        <v>49</v>
      </c>
      <c r="CY90" s="7">
        <v>39800</v>
      </c>
      <c r="CZ90" s="7">
        <v>15287</v>
      </c>
      <c r="DA90" s="7">
        <v>205</v>
      </c>
      <c r="DB90" s="7">
        <v>365</v>
      </c>
      <c r="DC90" s="7">
        <v>15</v>
      </c>
      <c r="DD90" s="7">
        <v>11893</v>
      </c>
      <c r="DE90" s="7">
        <v>14877</v>
      </c>
      <c r="DF90" s="7">
        <v>25284</v>
      </c>
      <c r="DG90" s="7">
        <v>0</v>
      </c>
      <c r="DH90" s="7">
        <v>5199</v>
      </c>
      <c r="DI90" s="7">
        <v>0</v>
      </c>
      <c r="DJ90" s="7">
        <v>0</v>
      </c>
      <c r="DK90" s="7">
        <v>0</v>
      </c>
      <c r="DL90" s="7">
        <v>234</v>
      </c>
      <c r="DM90" s="7">
        <v>43</v>
      </c>
      <c r="DN90" s="7">
        <v>29</v>
      </c>
      <c r="DO90" s="7">
        <v>0</v>
      </c>
      <c r="DP90" s="7">
        <v>1</v>
      </c>
      <c r="DQ90" s="7">
        <v>0</v>
      </c>
      <c r="DR90" s="7">
        <v>0</v>
      </c>
      <c r="DS90" s="7">
        <v>0</v>
      </c>
      <c r="DT90" s="7">
        <v>179</v>
      </c>
      <c r="DU90" s="7">
        <v>154</v>
      </c>
      <c r="DV90" s="7">
        <v>118</v>
      </c>
      <c r="DW90" s="7">
        <v>74</v>
      </c>
      <c r="DX90" s="7">
        <v>41</v>
      </c>
      <c r="DY90" s="7">
        <v>23</v>
      </c>
      <c r="DZ90" s="7">
        <v>73</v>
      </c>
      <c r="EA90" s="7">
        <v>62</v>
      </c>
      <c r="EB90" s="7">
        <v>12</v>
      </c>
      <c r="EC90" s="7">
        <v>13</v>
      </c>
      <c r="ED90" s="7">
        <v>13</v>
      </c>
      <c r="EE90" s="7">
        <v>13</v>
      </c>
      <c r="EF90" s="7">
        <v>64</v>
      </c>
      <c r="EG90" s="7">
        <v>43</v>
      </c>
      <c r="EH90" s="7">
        <v>198</v>
      </c>
      <c r="EI90" s="7">
        <v>126</v>
      </c>
      <c r="EJ90" s="7">
        <v>42</v>
      </c>
      <c r="EK90" s="7">
        <v>88</v>
      </c>
      <c r="EL90" s="7">
        <v>18</v>
      </c>
      <c r="EM90" s="7">
        <v>15</v>
      </c>
      <c r="EN90" s="7">
        <v>48</v>
      </c>
      <c r="EO90" s="7">
        <v>14667</v>
      </c>
      <c r="EP90" s="7">
        <v>14574</v>
      </c>
      <c r="EQ90" s="7">
        <v>93</v>
      </c>
      <c r="ER90" s="7">
        <v>4807</v>
      </c>
      <c r="ES90" s="7">
        <v>1256</v>
      </c>
      <c r="ET90" s="7">
        <v>1239</v>
      </c>
      <c r="EU90" s="7">
        <v>17</v>
      </c>
      <c r="EV90" s="7">
        <v>18834</v>
      </c>
      <c r="EW90" s="134">
        <v>80.652129885999997</v>
      </c>
      <c r="EX90" s="134">
        <v>4.0437453587999999</v>
      </c>
      <c r="EY90" s="134">
        <v>4.5230540741</v>
      </c>
      <c r="EZ90" s="134">
        <v>10.423276851000001</v>
      </c>
      <c r="FA90" s="134">
        <v>0.35779382970000001</v>
      </c>
      <c r="FB90" s="7">
        <v>2871</v>
      </c>
      <c r="FC90" s="7">
        <v>6981</v>
      </c>
      <c r="FD90" s="7">
        <v>675</v>
      </c>
      <c r="FE90" s="7">
        <v>2900</v>
      </c>
      <c r="FF90" s="7">
        <v>11</v>
      </c>
      <c r="FG90" s="7">
        <v>1884</v>
      </c>
      <c r="FH90" s="7">
        <v>551</v>
      </c>
      <c r="FI90" s="134">
        <v>82.407344899999998</v>
      </c>
      <c r="FJ90" s="134">
        <v>7.2706406535000001</v>
      </c>
      <c r="FK90" s="134">
        <v>7.4664146357999996</v>
      </c>
      <c r="FL90" s="134">
        <v>2.8555998109999998</v>
      </c>
      <c r="FM90" s="151">
        <v>17385</v>
      </c>
      <c r="FN90" s="151">
        <v>10681</v>
      </c>
      <c r="FO90" s="7">
        <v>3018</v>
      </c>
      <c r="FP90" s="7">
        <v>591</v>
      </c>
      <c r="FQ90" s="7">
        <v>54</v>
      </c>
      <c r="FR90" s="7">
        <v>69</v>
      </c>
      <c r="FS90" s="7">
        <v>13190</v>
      </c>
      <c r="FT90" s="7">
        <v>21</v>
      </c>
      <c r="FU90" s="7">
        <v>819</v>
      </c>
      <c r="FV90" s="7">
        <v>367</v>
      </c>
      <c r="FW90" s="7">
        <v>18460</v>
      </c>
      <c r="FX90" s="7">
        <v>9979</v>
      </c>
      <c r="FY90" s="7">
        <v>3095</v>
      </c>
      <c r="FZ90" s="7">
        <v>592</v>
      </c>
      <c r="GA90" s="7">
        <v>69</v>
      </c>
      <c r="GB90" s="7">
        <v>69</v>
      </c>
      <c r="GC90" s="7">
        <v>14192</v>
      </c>
      <c r="GD90" s="7">
        <v>22</v>
      </c>
      <c r="GE90" s="7">
        <v>802</v>
      </c>
      <c r="GF90" s="7">
        <v>381</v>
      </c>
      <c r="GG90" s="7">
        <v>2031</v>
      </c>
      <c r="GH90" s="7">
        <v>2459</v>
      </c>
      <c r="GI90" s="7">
        <v>2568</v>
      </c>
      <c r="GJ90" s="7">
        <v>2043</v>
      </c>
      <c r="GK90" s="7">
        <v>1168</v>
      </c>
      <c r="GL90" s="7">
        <v>1004</v>
      </c>
      <c r="GM90" s="7">
        <v>1054</v>
      </c>
      <c r="GN90" s="7">
        <v>1145</v>
      </c>
      <c r="GO90" s="7">
        <v>839</v>
      </c>
      <c r="GP90" s="7">
        <v>765</v>
      </c>
      <c r="GQ90" s="7">
        <v>628</v>
      </c>
      <c r="GR90" s="7">
        <v>450</v>
      </c>
      <c r="GS90" s="7">
        <v>377</v>
      </c>
      <c r="GT90" s="7">
        <v>259</v>
      </c>
      <c r="GU90" s="7">
        <v>307</v>
      </c>
      <c r="GV90" s="7">
        <v>123</v>
      </c>
      <c r="GW90" s="7">
        <v>84</v>
      </c>
      <c r="GX90" s="7">
        <v>81</v>
      </c>
      <c r="GY90" s="7">
        <v>1960</v>
      </c>
      <c r="GZ90" s="7">
        <v>2389</v>
      </c>
      <c r="HA90" s="7">
        <v>2424</v>
      </c>
      <c r="HB90" s="7">
        <v>2092</v>
      </c>
      <c r="HC90" s="7">
        <v>1447</v>
      </c>
      <c r="HD90" s="7">
        <v>1397</v>
      </c>
      <c r="HE90" s="7">
        <v>1330</v>
      </c>
      <c r="HF90" s="7">
        <v>1313</v>
      </c>
      <c r="HG90" s="7">
        <v>922</v>
      </c>
      <c r="HH90" s="7">
        <v>858</v>
      </c>
      <c r="HI90" s="7">
        <v>637</v>
      </c>
      <c r="HJ90" s="7">
        <v>497</v>
      </c>
      <c r="HK90" s="7">
        <v>430</v>
      </c>
      <c r="HL90" s="7">
        <v>240</v>
      </c>
      <c r="HM90" s="7">
        <v>279</v>
      </c>
      <c r="HN90" s="7">
        <v>95</v>
      </c>
      <c r="HO90" s="7">
        <v>69</v>
      </c>
      <c r="HP90" s="7">
        <v>81</v>
      </c>
      <c r="HQ90" s="7">
        <v>11261</v>
      </c>
      <c r="HR90" s="7">
        <v>12</v>
      </c>
      <c r="HS90" s="7">
        <v>9</v>
      </c>
      <c r="HT90" s="7">
        <v>1</v>
      </c>
      <c r="HU90" s="7">
        <v>0</v>
      </c>
      <c r="HV90" s="7">
        <v>0</v>
      </c>
      <c r="HW90" s="7">
        <v>0</v>
      </c>
      <c r="HX90" s="7">
        <v>193</v>
      </c>
      <c r="HY90" s="7">
        <v>365</v>
      </c>
      <c r="HZ90" s="7">
        <v>1132</v>
      </c>
      <c r="IA90" s="7">
        <v>1637</v>
      </c>
      <c r="IB90" s="7">
        <v>2048</v>
      </c>
      <c r="IC90" s="7">
        <v>1915</v>
      </c>
      <c r="ID90" s="7">
        <v>1631</v>
      </c>
      <c r="IE90" s="7">
        <v>968</v>
      </c>
      <c r="IF90" s="7">
        <v>642</v>
      </c>
      <c r="IG90" s="7">
        <v>964</v>
      </c>
      <c r="IH90" s="7">
        <v>836</v>
      </c>
      <c r="II90" s="7">
        <v>5380</v>
      </c>
      <c r="IJ90" s="7">
        <v>3161</v>
      </c>
      <c r="IK90" s="7">
        <v>1185</v>
      </c>
      <c r="IL90" s="7">
        <v>481</v>
      </c>
      <c r="IM90" s="7">
        <v>135</v>
      </c>
      <c r="IN90" s="7">
        <v>30</v>
      </c>
      <c r="IO90" s="7">
        <v>7</v>
      </c>
      <c r="IP90" s="7">
        <v>8</v>
      </c>
      <c r="IQ90" s="7">
        <v>6972</v>
      </c>
      <c r="IR90" s="7">
        <v>3281</v>
      </c>
      <c r="IS90" s="7">
        <v>657</v>
      </c>
      <c r="IT90" s="7">
        <v>280</v>
      </c>
      <c r="IU90" s="7">
        <v>56</v>
      </c>
      <c r="IV90" s="7">
        <v>1583</v>
      </c>
      <c r="IW90" s="7">
        <v>7434</v>
      </c>
      <c r="IX90" s="7">
        <v>319</v>
      </c>
      <c r="IY90" s="7">
        <v>139</v>
      </c>
      <c r="IZ90" s="7">
        <v>11</v>
      </c>
      <c r="JA90" s="7">
        <v>1755</v>
      </c>
      <c r="JB90" s="7">
        <v>1643</v>
      </c>
      <c r="JC90" s="7">
        <v>5545</v>
      </c>
      <c r="JD90" s="7">
        <v>428</v>
      </c>
      <c r="JE90" s="7">
        <v>382</v>
      </c>
      <c r="JF90" s="151">
        <v>9042.0383962399846</v>
      </c>
      <c r="JG90" s="151">
        <v>2216.9300300385253</v>
      </c>
      <c r="JH90" s="7">
        <v>1910</v>
      </c>
      <c r="JI90" s="7">
        <v>9176</v>
      </c>
      <c r="JJ90" s="7">
        <v>156</v>
      </c>
      <c r="JK90" s="7">
        <v>60</v>
      </c>
      <c r="JL90" s="7">
        <v>3609</v>
      </c>
      <c r="JM90" s="7">
        <v>1011</v>
      </c>
      <c r="JN90" s="7">
        <v>396</v>
      </c>
      <c r="JO90" s="7">
        <v>5876</v>
      </c>
      <c r="JP90" s="7">
        <v>5510</v>
      </c>
      <c r="JQ90" s="7">
        <v>290</v>
      </c>
      <c r="JR90" s="7">
        <v>627</v>
      </c>
      <c r="JS90" s="7">
        <v>1189</v>
      </c>
      <c r="JT90" s="7">
        <v>95</v>
      </c>
      <c r="JU90" s="151">
        <v>467.17297991016727</v>
      </c>
      <c r="JV90" s="151">
        <v>7839.9395643517328</v>
      </c>
      <c r="JW90" s="151">
        <v>688.50738531750028</v>
      </c>
      <c r="JX90" s="151">
        <v>46.418466660583789</v>
      </c>
      <c r="JY90" s="7">
        <v>10518</v>
      </c>
      <c r="JZ90" s="7">
        <v>56579</v>
      </c>
      <c r="KA90" s="7">
        <v>43</v>
      </c>
      <c r="KB90" s="7">
        <v>37</v>
      </c>
      <c r="KC90" s="7">
        <v>2</v>
      </c>
      <c r="KD90" s="7">
        <v>0</v>
      </c>
      <c r="KE90" s="7">
        <v>0</v>
      </c>
      <c r="KF90" s="7">
        <v>0</v>
      </c>
      <c r="KG90" s="7">
        <v>592</v>
      </c>
      <c r="KH90" s="7">
        <v>9585</v>
      </c>
      <c r="KI90" s="7">
        <v>46203</v>
      </c>
      <c r="KJ90" s="7">
        <v>646</v>
      </c>
      <c r="KK90" s="7">
        <v>297</v>
      </c>
      <c r="KL90" s="7">
        <v>2345</v>
      </c>
      <c r="KM90" s="7">
        <v>39353</v>
      </c>
      <c r="KN90" s="7">
        <v>3456</v>
      </c>
      <c r="KO90" s="7">
        <v>233</v>
      </c>
      <c r="KP90" s="7">
        <v>45387</v>
      </c>
      <c r="KQ90" s="7">
        <v>11128</v>
      </c>
      <c r="KR90" s="7">
        <v>10087</v>
      </c>
      <c r="KS90" s="7">
        <v>10087</v>
      </c>
      <c r="KT90" s="7">
        <v>1853</v>
      </c>
      <c r="KU90" s="7">
        <v>716</v>
      </c>
      <c r="KV90" s="7">
        <v>2041</v>
      </c>
      <c r="KW90" s="7">
        <v>1</v>
      </c>
      <c r="KX90" s="7">
        <v>1860</v>
      </c>
      <c r="KY90" s="7">
        <v>674</v>
      </c>
      <c r="KZ90" s="7">
        <v>1687</v>
      </c>
      <c r="LA90" s="7">
        <v>2</v>
      </c>
      <c r="LB90" s="7">
        <v>5444</v>
      </c>
      <c r="LC90" s="7">
        <v>5090</v>
      </c>
      <c r="LD90" s="7">
        <v>3258</v>
      </c>
      <c r="LE90" s="7">
        <v>6840</v>
      </c>
      <c r="LF90" s="7">
        <v>35236</v>
      </c>
      <c r="LG90" s="7">
        <v>48</v>
      </c>
      <c r="LH90" s="7">
        <v>6756</v>
      </c>
      <c r="LI90" s="7">
        <v>1193</v>
      </c>
      <c r="LJ90" s="7">
        <v>3107</v>
      </c>
      <c r="LK90" s="7">
        <v>8</v>
      </c>
      <c r="LL90" s="7">
        <v>2629</v>
      </c>
      <c r="LM90" s="7">
        <v>496</v>
      </c>
      <c r="LN90" s="7">
        <v>71</v>
      </c>
      <c r="LO90" s="7">
        <v>6221</v>
      </c>
      <c r="LP90" s="7">
        <v>867</v>
      </c>
      <c r="LQ90" s="7">
        <v>2539</v>
      </c>
      <c r="LR90" s="7">
        <v>7</v>
      </c>
      <c r="LS90" s="7">
        <v>2057</v>
      </c>
      <c r="LT90" s="7">
        <v>321</v>
      </c>
      <c r="LU90" s="232">
        <v>5.3446338960000004</v>
      </c>
      <c r="LV90" s="232">
        <v>6.0730737753000001</v>
      </c>
      <c r="LW90" s="232">
        <v>4.6510631191999998</v>
      </c>
      <c r="LX90" s="7">
        <v>11302</v>
      </c>
      <c r="LY90" s="7">
        <v>56731</v>
      </c>
    </row>
    <row r="91" spans="1:337" x14ac:dyDescent="0.25">
      <c r="A91" t="s">
        <v>270</v>
      </c>
      <c r="B91" t="s">
        <v>271</v>
      </c>
      <c r="C91" s="7">
        <v>3423</v>
      </c>
      <c r="D91">
        <v>4545</v>
      </c>
      <c r="F91">
        <f t="shared" si="4"/>
        <v>-4545</v>
      </c>
      <c r="G91">
        <f t="shared" si="5"/>
        <v>-100</v>
      </c>
      <c r="H91">
        <v>2195</v>
      </c>
      <c r="I91">
        <v>2350</v>
      </c>
      <c r="J91">
        <v>2987</v>
      </c>
      <c r="K91">
        <v>1558</v>
      </c>
      <c r="L91" s="7">
        <v>363</v>
      </c>
      <c r="M91" s="7">
        <v>312</v>
      </c>
      <c r="N91" s="7">
        <v>328</v>
      </c>
      <c r="O91" s="7">
        <v>227</v>
      </c>
      <c r="P91" s="7">
        <v>196</v>
      </c>
      <c r="Q91" s="7">
        <v>165</v>
      </c>
      <c r="R91" s="7">
        <v>127</v>
      </c>
      <c r="S91" s="7">
        <v>133</v>
      </c>
      <c r="T91" s="7">
        <v>77</v>
      </c>
      <c r="U91" s="7">
        <v>75</v>
      </c>
      <c r="V91" s="7">
        <v>39</v>
      </c>
      <c r="W91" s="7">
        <v>43</v>
      </c>
      <c r="X91" s="7">
        <v>46</v>
      </c>
      <c r="Y91" s="7">
        <v>61</v>
      </c>
      <c r="Z91" s="7">
        <v>3</v>
      </c>
      <c r="AA91" s="7">
        <v>373</v>
      </c>
      <c r="AB91" s="7">
        <v>350</v>
      </c>
      <c r="AC91" s="7">
        <v>307</v>
      </c>
      <c r="AD91" s="7">
        <v>279</v>
      </c>
      <c r="AE91" s="7">
        <v>232</v>
      </c>
      <c r="AF91" s="7">
        <v>163</v>
      </c>
      <c r="AG91" s="7">
        <v>156</v>
      </c>
      <c r="AH91" s="7">
        <v>126</v>
      </c>
      <c r="AI91" s="7">
        <v>62</v>
      </c>
      <c r="AJ91" s="7">
        <v>66</v>
      </c>
      <c r="AK91" s="7">
        <v>69</v>
      </c>
      <c r="AL91" s="7">
        <v>49</v>
      </c>
      <c r="AM91" s="7">
        <v>47</v>
      </c>
      <c r="AN91" s="7">
        <v>68</v>
      </c>
      <c r="AO91" s="7">
        <v>3</v>
      </c>
      <c r="AP91">
        <v>4537</v>
      </c>
      <c r="AQ91" t="s">
        <v>358</v>
      </c>
      <c r="AR91" t="s">
        <v>358</v>
      </c>
      <c r="AS91" t="s">
        <v>358</v>
      </c>
      <c r="AT91">
        <v>8</v>
      </c>
      <c r="AU91" s="7">
        <v>3912</v>
      </c>
      <c r="AV91" s="7">
        <v>1905</v>
      </c>
      <c r="AW91" s="7">
        <v>2007</v>
      </c>
      <c r="AX91" s="7">
        <v>2290</v>
      </c>
      <c r="AY91" s="7">
        <v>3912</v>
      </c>
      <c r="AZ91" s="7">
        <v>1229</v>
      </c>
      <c r="BA91" s="7">
        <v>2683</v>
      </c>
      <c r="BB91" s="7">
        <v>149</v>
      </c>
      <c r="BC91" s="7">
        <v>136</v>
      </c>
      <c r="BD91" s="7">
        <v>291</v>
      </c>
      <c r="BE91" s="7">
        <v>327</v>
      </c>
      <c r="BF91" s="7">
        <v>313</v>
      </c>
      <c r="BG91" s="7">
        <v>282</v>
      </c>
      <c r="BH91" s="7">
        <v>219</v>
      </c>
      <c r="BI91" s="7">
        <v>264</v>
      </c>
      <c r="BJ91" s="7">
        <v>189</v>
      </c>
      <c r="BK91" s="7">
        <v>222</v>
      </c>
      <c r="BL91" s="7">
        <v>159</v>
      </c>
      <c r="BM91" s="7">
        <v>158</v>
      </c>
      <c r="BN91" s="7">
        <v>121</v>
      </c>
      <c r="BO91" s="7">
        <v>152</v>
      </c>
      <c r="BP91" s="7">
        <v>132</v>
      </c>
      <c r="BQ91" s="7">
        <v>120</v>
      </c>
      <c r="BR91" s="7">
        <v>75</v>
      </c>
      <c r="BS91" s="7">
        <v>61</v>
      </c>
      <c r="BT91" s="7">
        <v>72</v>
      </c>
      <c r="BU91" s="7">
        <v>61</v>
      </c>
      <c r="BV91" s="7">
        <v>39</v>
      </c>
      <c r="BW91" s="7">
        <v>64</v>
      </c>
      <c r="BX91" s="7">
        <v>43</v>
      </c>
      <c r="BY91" s="7">
        <v>48</v>
      </c>
      <c r="BZ91" s="7">
        <v>44</v>
      </c>
      <c r="CA91" s="7">
        <v>46</v>
      </c>
      <c r="CB91" s="7">
        <v>59</v>
      </c>
      <c r="CC91" s="7">
        <v>66</v>
      </c>
      <c r="CD91" s="7">
        <v>1510</v>
      </c>
      <c r="CE91" s="7">
        <v>1192</v>
      </c>
      <c r="CF91" s="7">
        <v>386</v>
      </c>
      <c r="CG91" s="7">
        <v>798</v>
      </c>
      <c r="CH91" s="7">
        <v>792</v>
      </c>
      <c r="CI91" s="7">
        <v>113</v>
      </c>
      <c r="CJ91" s="7">
        <v>4098</v>
      </c>
      <c r="CK91" s="7">
        <v>441</v>
      </c>
      <c r="CL91" s="7">
        <v>28</v>
      </c>
      <c r="CM91" s="7">
        <v>71</v>
      </c>
      <c r="CN91" s="7">
        <v>111</v>
      </c>
      <c r="CO91" s="7">
        <v>198</v>
      </c>
      <c r="CP91" s="7">
        <v>167</v>
      </c>
      <c r="CQ91" s="7">
        <v>330</v>
      </c>
      <c r="CR91" s="7">
        <v>775</v>
      </c>
      <c r="CS91" s="7">
        <v>2397</v>
      </c>
      <c r="CT91" s="7">
        <v>189</v>
      </c>
      <c r="CU91" s="7">
        <v>142</v>
      </c>
      <c r="CV91" s="7">
        <v>52</v>
      </c>
      <c r="CW91" s="7">
        <v>52</v>
      </c>
      <c r="CX91" s="7">
        <v>2</v>
      </c>
      <c r="CY91" s="7">
        <v>3061</v>
      </c>
      <c r="CZ91" s="7">
        <v>1301</v>
      </c>
      <c r="DA91" s="7">
        <v>16</v>
      </c>
      <c r="DB91" s="7">
        <v>28</v>
      </c>
      <c r="DC91" s="7">
        <v>0</v>
      </c>
      <c r="DD91" s="7">
        <v>433</v>
      </c>
      <c r="DE91" s="7">
        <v>339</v>
      </c>
      <c r="DF91" s="7">
        <v>786</v>
      </c>
      <c r="DG91" s="7">
        <v>2987</v>
      </c>
      <c r="DH91" s="7">
        <v>0</v>
      </c>
      <c r="DI91" s="7">
        <v>0</v>
      </c>
      <c r="DJ91" s="7">
        <v>0</v>
      </c>
      <c r="DK91" s="7">
        <v>0</v>
      </c>
      <c r="DL91" s="7">
        <v>10</v>
      </c>
      <c r="DM91" s="7">
        <v>1</v>
      </c>
      <c r="DN91" s="7">
        <v>1</v>
      </c>
      <c r="DO91" s="7">
        <v>1</v>
      </c>
      <c r="DP91" s="7">
        <v>0</v>
      </c>
      <c r="DQ91" s="7">
        <v>0</v>
      </c>
      <c r="DR91" s="7">
        <v>0</v>
      </c>
      <c r="DS91" s="7">
        <v>0</v>
      </c>
      <c r="DT91" s="7">
        <v>8</v>
      </c>
      <c r="DU91" s="7">
        <v>8</v>
      </c>
      <c r="DV91" s="7">
        <v>5</v>
      </c>
      <c r="DW91" s="7">
        <v>12</v>
      </c>
      <c r="DX91" s="7">
        <v>3</v>
      </c>
      <c r="DY91" s="7">
        <v>3</v>
      </c>
      <c r="DZ91" s="7">
        <v>4</v>
      </c>
      <c r="EA91" s="7">
        <v>1</v>
      </c>
      <c r="EB91" s="7">
        <v>0</v>
      </c>
      <c r="EC91" s="7">
        <v>0</v>
      </c>
      <c r="ED91" s="7">
        <v>0</v>
      </c>
      <c r="EE91" s="7">
        <v>0</v>
      </c>
      <c r="EF91" s="7">
        <v>1</v>
      </c>
      <c r="EG91" s="7">
        <v>3</v>
      </c>
      <c r="EH91" s="7">
        <v>12</v>
      </c>
      <c r="EI91" s="7">
        <v>12</v>
      </c>
      <c r="EJ91" s="7">
        <v>4</v>
      </c>
      <c r="EK91" s="7">
        <v>1</v>
      </c>
      <c r="EL91" s="7">
        <v>0</v>
      </c>
      <c r="EM91" s="7">
        <v>0</v>
      </c>
      <c r="EN91" s="7">
        <v>3</v>
      </c>
      <c r="EO91" s="7">
        <v>1083</v>
      </c>
      <c r="EP91" s="7">
        <v>1059</v>
      </c>
      <c r="EQ91" s="7">
        <v>24</v>
      </c>
      <c r="ER91" s="7">
        <v>277</v>
      </c>
      <c r="ES91" s="7">
        <v>77</v>
      </c>
      <c r="ET91" s="7">
        <v>77</v>
      </c>
      <c r="EU91" s="7">
        <v>0</v>
      </c>
      <c r="EV91" s="7">
        <v>1426</v>
      </c>
      <c r="EW91" s="134">
        <v>85.903083699999996</v>
      </c>
      <c r="EX91" s="134">
        <v>5.8149779735999996</v>
      </c>
      <c r="EY91" s="134">
        <v>3.0837004404999999</v>
      </c>
      <c r="EZ91" s="134">
        <v>4.4052863436000003</v>
      </c>
      <c r="FA91" s="134">
        <v>0.79295154189999995</v>
      </c>
      <c r="FB91" s="7">
        <v>234</v>
      </c>
      <c r="FC91" s="7">
        <v>689</v>
      </c>
      <c r="FD91" s="7">
        <v>54</v>
      </c>
      <c r="FE91" s="7">
        <v>145</v>
      </c>
      <c r="FF91" s="7">
        <v>0</v>
      </c>
      <c r="FG91" s="7">
        <v>37</v>
      </c>
      <c r="FH91" s="7">
        <v>1</v>
      </c>
      <c r="FI91" s="134">
        <v>86.431718062000002</v>
      </c>
      <c r="FJ91" s="134">
        <v>6.6960352422999998</v>
      </c>
      <c r="FK91" s="134">
        <v>4.5814977974</v>
      </c>
      <c r="FL91" s="134">
        <v>2.2907488987</v>
      </c>
      <c r="FM91" s="151">
        <v>1720</v>
      </c>
      <c r="FN91" s="151">
        <v>466</v>
      </c>
      <c r="FO91" s="7">
        <v>439</v>
      </c>
      <c r="FP91" s="7">
        <v>1</v>
      </c>
      <c r="FQ91" s="7">
        <v>0</v>
      </c>
      <c r="FR91" s="7">
        <v>1</v>
      </c>
      <c r="FS91" s="7">
        <v>1270</v>
      </c>
      <c r="FT91" s="7">
        <v>3</v>
      </c>
      <c r="FU91" s="7">
        <v>8</v>
      </c>
      <c r="FV91" s="7">
        <v>9</v>
      </c>
      <c r="FW91" s="7">
        <v>1917</v>
      </c>
      <c r="FX91" s="7">
        <v>423</v>
      </c>
      <c r="FY91" s="7">
        <v>467</v>
      </c>
      <c r="FZ91" s="7">
        <v>0</v>
      </c>
      <c r="GA91" s="7">
        <v>0</v>
      </c>
      <c r="GB91" s="7">
        <v>1</v>
      </c>
      <c r="GC91" s="7">
        <v>1442</v>
      </c>
      <c r="GD91" s="7">
        <v>2</v>
      </c>
      <c r="GE91" s="7">
        <v>8</v>
      </c>
      <c r="GF91" s="7">
        <v>10</v>
      </c>
      <c r="GG91" s="7">
        <v>267</v>
      </c>
      <c r="GH91" s="7">
        <v>267</v>
      </c>
      <c r="GI91" s="7">
        <v>258</v>
      </c>
      <c r="GJ91" s="7">
        <v>161</v>
      </c>
      <c r="GK91" s="7">
        <v>152</v>
      </c>
      <c r="GL91" s="7">
        <v>126</v>
      </c>
      <c r="GM91" s="7">
        <v>105</v>
      </c>
      <c r="GN91" s="7">
        <v>111</v>
      </c>
      <c r="GO91" s="7">
        <v>63</v>
      </c>
      <c r="GP91" s="7">
        <v>59</v>
      </c>
      <c r="GQ91" s="7">
        <v>32</v>
      </c>
      <c r="GR91" s="7">
        <v>35</v>
      </c>
      <c r="GS91" s="7">
        <v>35</v>
      </c>
      <c r="GT91" s="7">
        <v>20</v>
      </c>
      <c r="GU91" s="7">
        <v>15</v>
      </c>
      <c r="GV91" s="7">
        <v>6</v>
      </c>
      <c r="GW91" s="7">
        <v>1</v>
      </c>
      <c r="GX91" s="7">
        <v>7</v>
      </c>
      <c r="GY91" s="7">
        <v>294</v>
      </c>
      <c r="GZ91" s="7">
        <v>287</v>
      </c>
      <c r="HA91" s="7">
        <v>255</v>
      </c>
      <c r="HB91" s="7">
        <v>211</v>
      </c>
      <c r="HC91" s="7">
        <v>189</v>
      </c>
      <c r="HD91" s="7">
        <v>135</v>
      </c>
      <c r="HE91" s="7">
        <v>131</v>
      </c>
      <c r="HF91" s="7">
        <v>109</v>
      </c>
      <c r="HG91" s="7">
        <v>55</v>
      </c>
      <c r="HH91" s="7">
        <v>54</v>
      </c>
      <c r="HI91" s="7">
        <v>57</v>
      </c>
      <c r="HJ91" s="7">
        <v>40</v>
      </c>
      <c r="HK91" s="7">
        <v>43</v>
      </c>
      <c r="HL91" s="7">
        <v>19</v>
      </c>
      <c r="HM91" s="7">
        <v>20</v>
      </c>
      <c r="HN91" s="7">
        <v>6</v>
      </c>
      <c r="HO91" s="7">
        <v>5</v>
      </c>
      <c r="HP91" s="7">
        <v>7</v>
      </c>
      <c r="HQ91" s="7">
        <v>899</v>
      </c>
      <c r="HR91" s="7">
        <v>0</v>
      </c>
      <c r="HS91" s="7">
        <v>0</v>
      </c>
      <c r="HT91" s="7">
        <v>0</v>
      </c>
      <c r="HU91" s="7">
        <v>0</v>
      </c>
      <c r="HV91" s="7">
        <v>0</v>
      </c>
      <c r="HW91" s="7">
        <v>0</v>
      </c>
      <c r="HX91" s="7">
        <v>8</v>
      </c>
      <c r="HY91" s="7">
        <v>28</v>
      </c>
      <c r="HZ91" s="7">
        <v>71</v>
      </c>
      <c r="IA91" s="7">
        <v>111</v>
      </c>
      <c r="IB91" s="7">
        <v>198</v>
      </c>
      <c r="IC91" s="7">
        <v>167</v>
      </c>
      <c r="ID91" s="7">
        <v>128</v>
      </c>
      <c r="IE91" s="7">
        <v>85</v>
      </c>
      <c r="IF91" s="7">
        <v>60</v>
      </c>
      <c r="IG91" s="7">
        <v>57</v>
      </c>
      <c r="IH91" s="7">
        <v>67</v>
      </c>
      <c r="II91" s="7">
        <v>441</v>
      </c>
      <c r="IJ91" s="7">
        <v>263</v>
      </c>
      <c r="IK91" s="7">
        <v>68</v>
      </c>
      <c r="IL91" s="7">
        <v>31</v>
      </c>
      <c r="IM91" s="7">
        <v>2</v>
      </c>
      <c r="IN91" s="7">
        <v>4</v>
      </c>
      <c r="IO91" s="7">
        <v>1</v>
      </c>
      <c r="IP91" s="7">
        <v>0</v>
      </c>
      <c r="IQ91" s="7">
        <v>550</v>
      </c>
      <c r="IR91" s="7">
        <v>240</v>
      </c>
      <c r="IS91" s="7">
        <v>59</v>
      </c>
      <c r="IT91" s="7">
        <v>24</v>
      </c>
      <c r="IU91" s="7">
        <v>5</v>
      </c>
      <c r="IV91" s="7">
        <v>105</v>
      </c>
      <c r="IW91" s="7">
        <v>701</v>
      </c>
      <c r="IX91" s="7">
        <v>2</v>
      </c>
      <c r="IY91" s="7">
        <v>12</v>
      </c>
      <c r="IZ91" s="7">
        <v>1</v>
      </c>
      <c r="JA91" s="7">
        <v>69</v>
      </c>
      <c r="JB91" s="7">
        <v>674</v>
      </c>
      <c r="JC91" s="7">
        <v>41</v>
      </c>
      <c r="JD91" s="7">
        <v>19</v>
      </c>
      <c r="JE91" s="7">
        <v>26</v>
      </c>
      <c r="JF91" s="151">
        <v>876.68752878593637</v>
      </c>
      <c r="JG91" s="151">
        <v>14.35558382364963</v>
      </c>
      <c r="JH91" s="7">
        <v>44</v>
      </c>
      <c r="JI91" s="7">
        <v>845</v>
      </c>
      <c r="JJ91" s="7">
        <v>4</v>
      </c>
      <c r="JK91" s="7">
        <v>12</v>
      </c>
      <c r="JL91" s="7">
        <v>98</v>
      </c>
      <c r="JM91" s="7">
        <v>9</v>
      </c>
      <c r="JN91" s="7">
        <v>21</v>
      </c>
      <c r="JO91" s="7">
        <v>213</v>
      </c>
      <c r="JP91" s="7">
        <v>310</v>
      </c>
      <c r="JQ91" s="7">
        <v>0</v>
      </c>
      <c r="JR91" s="7">
        <v>3</v>
      </c>
      <c r="JS91" s="7">
        <v>69</v>
      </c>
      <c r="JT91" s="7">
        <v>0</v>
      </c>
      <c r="JU91" s="151">
        <v>27.514868995328456</v>
      </c>
      <c r="JV91" s="151">
        <v>724.75759998564445</v>
      </c>
      <c r="JW91" s="151">
        <v>123.21876115299266</v>
      </c>
      <c r="JX91" s="151">
        <v>1.1962986519708023</v>
      </c>
      <c r="JY91" s="7">
        <v>863</v>
      </c>
      <c r="JZ91" s="7">
        <v>4501</v>
      </c>
      <c r="KA91" s="7">
        <v>0</v>
      </c>
      <c r="KB91" s="7">
        <v>0</v>
      </c>
      <c r="KC91" s="7">
        <v>0</v>
      </c>
      <c r="KD91" s="7">
        <v>0</v>
      </c>
      <c r="KE91" s="7">
        <v>0</v>
      </c>
      <c r="KF91" s="7">
        <v>0</v>
      </c>
      <c r="KG91" s="7">
        <v>44</v>
      </c>
      <c r="KH91" s="7">
        <v>192</v>
      </c>
      <c r="KI91" s="7">
        <v>4277</v>
      </c>
      <c r="KJ91" s="7">
        <v>14</v>
      </c>
      <c r="KK91" s="7">
        <v>56</v>
      </c>
      <c r="KL91" s="7">
        <v>138</v>
      </c>
      <c r="KM91" s="7">
        <v>3635</v>
      </c>
      <c r="KN91" s="7">
        <v>618</v>
      </c>
      <c r="KO91" s="7">
        <v>6</v>
      </c>
      <c r="KP91" s="7">
        <v>4397</v>
      </c>
      <c r="KQ91" s="7">
        <v>72</v>
      </c>
      <c r="KR91" s="7">
        <v>744</v>
      </c>
      <c r="KS91" s="7">
        <v>744</v>
      </c>
      <c r="KT91" s="7">
        <v>187</v>
      </c>
      <c r="KU91" s="7">
        <v>33</v>
      </c>
      <c r="KV91" s="7">
        <v>94</v>
      </c>
      <c r="KW91" s="7">
        <v>0</v>
      </c>
      <c r="KX91" s="7">
        <v>197</v>
      </c>
      <c r="KY91" s="7">
        <v>41</v>
      </c>
      <c r="KZ91" s="7">
        <v>74</v>
      </c>
      <c r="LA91" s="7">
        <v>0</v>
      </c>
      <c r="LB91" s="7">
        <v>409</v>
      </c>
      <c r="LC91" s="7">
        <v>417</v>
      </c>
      <c r="LD91" s="7">
        <v>228</v>
      </c>
      <c r="LE91" s="7">
        <v>611</v>
      </c>
      <c r="LF91" s="7">
        <v>2506</v>
      </c>
      <c r="LG91" s="7">
        <v>4</v>
      </c>
      <c r="LH91" s="7">
        <v>665</v>
      </c>
      <c r="LI91" s="7">
        <v>84</v>
      </c>
      <c r="LJ91" s="7">
        <v>153</v>
      </c>
      <c r="LK91" s="7">
        <v>0</v>
      </c>
      <c r="LL91" s="7">
        <v>47</v>
      </c>
      <c r="LM91" s="7">
        <v>3</v>
      </c>
      <c r="LN91" s="7">
        <v>6</v>
      </c>
      <c r="LO91" s="7">
        <v>538</v>
      </c>
      <c r="LP91" s="7">
        <v>88</v>
      </c>
      <c r="LQ91" s="7">
        <v>101</v>
      </c>
      <c r="LR91" s="7">
        <v>0</v>
      </c>
      <c r="LS91" s="7">
        <v>29</v>
      </c>
      <c r="LT91" s="7">
        <v>1</v>
      </c>
      <c r="LU91" s="232">
        <v>3.7739616613</v>
      </c>
      <c r="LV91" s="232">
        <v>4.5075757575999997</v>
      </c>
      <c r="LW91" s="232">
        <v>3.1117021277000001</v>
      </c>
      <c r="LX91" s="7">
        <v>905</v>
      </c>
      <c r="LY91" s="7">
        <v>4539</v>
      </c>
    </row>
    <row r="92" spans="1:337" x14ac:dyDescent="0.25">
      <c r="A92" t="s">
        <v>192</v>
      </c>
      <c r="B92" t="s">
        <v>193</v>
      </c>
      <c r="C92" s="7">
        <v>132421</v>
      </c>
      <c r="D92">
        <v>185917</v>
      </c>
      <c r="F92">
        <f t="shared" si="4"/>
        <v>-185917</v>
      </c>
      <c r="G92">
        <f t="shared" si="5"/>
        <v>-100</v>
      </c>
      <c r="H92">
        <v>88996</v>
      </c>
      <c r="I92">
        <v>96921</v>
      </c>
      <c r="J92">
        <v>158027</v>
      </c>
      <c r="K92">
        <v>27890</v>
      </c>
      <c r="L92" s="7">
        <v>10199</v>
      </c>
      <c r="M92" s="7">
        <v>10451</v>
      </c>
      <c r="N92" s="7">
        <v>9912</v>
      </c>
      <c r="O92" s="7">
        <v>9735</v>
      </c>
      <c r="P92" s="7">
        <v>8853</v>
      </c>
      <c r="Q92" s="7">
        <v>7573</v>
      </c>
      <c r="R92" s="7">
        <v>6591</v>
      </c>
      <c r="S92" s="7">
        <v>5772</v>
      </c>
      <c r="T92" s="7">
        <v>4582</v>
      </c>
      <c r="U92" s="7">
        <v>3727</v>
      </c>
      <c r="V92" s="7">
        <v>3063</v>
      </c>
      <c r="W92" s="7">
        <v>2183</v>
      </c>
      <c r="X92" s="7">
        <v>1566</v>
      </c>
      <c r="Y92" s="7">
        <v>2615</v>
      </c>
      <c r="Z92" s="7">
        <v>2174</v>
      </c>
      <c r="AA92" s="7">
        <v>10003</v>
      </c>
      <c r="AB92" s="7">
        <v>10361</v>
      </c>
      <c r="AC92" s="7">
        <v>9442</v>
      </c>
      <c r="AD92" s="7">
        <v>10455</v>
      </c>
      <c r="AE92" s="7">
        <v>10125</v>
      </c>
      <c r="AF92" s="7">
        <v>8780</v>
      </c>
      <c r="AG92" s="7">
        <v>7789</v>
      </c>
      <c r="AH92" s="7">
        <v>6752</v>
      </c>
      <c r="AI92" s="7">
        <v>5350</v>
      </c>
      <c r="AJ92" s="7">
        <v>4481</v>
      </c>
      <c r="AK92" s="7">
        <v>3551</v>
      </c>
      <c r="AL92" s="7">
        <v>2313</v>
      </c>
      <c r="AM92" s="7">
        <v>1879</v>
      </c>
      <c r="AN92" s="7">
        <v>3478</v>
      </c>
      <c r="AO92" s="7">
        <v>2162</v>
      </c>
      <c r="AP92">
        <v>174559</v>
      </c>
      <c r="AQ92">
        <v>5895</v>
      </c>
      <c r="AR92">
        <v>192</v>
      </c>
      <c r="AS92">
        <v>525</v>
      </c>
      <c r="AT92">
        <v>4746</v>
      </c>
      <c r="AU92" s="7">
        <v>62208</v>
      </c>
      <c r="AV92" s="7">
        <v>29543</v>
      </c>
      <c r="AW92" s="7">
        <v>32665</v>
      </c>
      <c r="AX92" s="7">
        <v>42398</v>
      </c>
      <c r="AY92" s="7">
        <v>62208</v>
      </c>
      <c r="AZ92" s="7">
        <v>19084</v>
      </c>
      <c r="BA92" s="7">
        <v>43124</v>
      </c>
      <c r="BB92" s="7">
        <v>1144</v>
      </c>
      <c r="BC92" s="7">
        <v>1121</v>
      </c>
      <c r="BD92" s="7">
        <v>3362</v>
      </c>
      <c r="BE92" s="7">
        <v>3353</v>
      </c>
      <c r="BF92" s="7">
        <v>3436</v>
      </c>
      <c r="BG92" s="7">
        <v>3313</v>
      </c>
      <c r="BH92" s="7">
        <v>3612</v>
      </c>
      <c r="BI92" s="7">
        <v>4242</v>
      </c>
      <c r="BJ92" s="7">
        <v>3404</v>
      </c>
      <c r="BK92" s="7">
        <v>4128</v>
      </c>
      <c r="BL92" s="7">
        <v>2958</v>
      </c>
      <c r="BM92" s="7">
        <v>3451</v>
      </c>
      <c r="BN92" s="7">
        <v>2577</v>
      </c>
      <c r="BO92" s="7">
        <v>2901</v>
      </c>
      <c r="BP92" s="7">
        <v>2218</v>
      </c>
      <c r="BQ92" s="7">
        <v>2548</v>
      </c>
      <c r="BR92" s="7">
        <v>1680</v>
      </c>
      <c r="BS92" s="7">
        <v>1906</v>
      </c>
      <c r="BT92" s="7">
        <v>1509</v>
      </c>
      <c r="BU92" s="7">
        <v>1750</v>
      </c>
      <c r="BV92" s="7">
        <v>1155</v>
      </c>
      <c r="BW92" s="7">
        <v>1299</v>
      </c>
      <c r="BX92" s="7">
        <v>873</v>
      </c>
      <c r="BY92" s="7">
        <v>822</v>
      </c>
      <c r="BZ92" s="7">
        <v>615</v>
      </c>
      <c r="CA92" s="7">
        <v>646</v>
      </c>
      <c r="CB92" s="7">
        <v>1000</v>
      </c>
      <c r="CC92" s="7">
        <v>1185</v>
      </c>
      <c r="CD92" s="7">
        <v>24809</v>
      </c>
      <c r="CE92" s="7">
        <v>24431</v>
      </c>
      <c r="CF92" s="7">
        <v>4076</v>
      </c>
      <c r="CG92" s="7">
        <v>7464</v>
      </c>
      <c r="CH92" s="7">
        <v>30546</v>
      </c>
      <c r="CI92" s="7">
        <v>10168</v>
      </c>
      <c r="CJ92" s="7">
        <v>142245</v>
      </c>
      <c r="CK92" s="7">
        <v>38498</v>
      </c>
      <c r="CL92" s="7">
        <v>2663</v>
      </c>
      <c r="CM92" s="7">
        <v>4924</v>
      </c>
      <c r="CN92" s="7">
        <v>7155</v>
      </c>
      <c r="CO92" s="7">
        <v>8786</v>
      </c>
      <c r="CP92" s="7">
        <v>6883</v>
      </c>
      <c r="CQ92" s="7">
        <v>10303</v>
      </c>
      <c r="CR92" s="7">
        <v>28841</v>
      </c>
      <c r="CS92" s="7">
        <v>85397</v>
      </c>
      <c r="CT92" s="7">
        <v>10240</v>
      </c>
      <c r="CU92" s="7">
        <v>4137</v>
      </c>
      <c r="CV92" s="7">
        <v>1558</v>
      </c>
      <c r="CW92" s="7">
        <v>7353</v>
      </c>
      <c r="CX92" s="7">
        <v>1995</v>
      </c>
      <c r="CY92" s="7">
        <v>109459</v>
      </c>
      <c r="CZ92" s="7">
        <v>59138</v>
      </c>
      <c r="DA92" s="7">
        <v>5932</v>
      </c>
      <c r="DB92" s="7">
        <v>2663</v>
      </c>
      <c r="DC92" s="7">
        <v>909</v>
      </c>
      <c r="DD92" s="7">
        <v>6699</v>
      </c>
      <c r="DE92" s="7">
        <v>6642</v>
      </c>
      <c r="DF92" s="7">
        <v>14549</v>
      </c>
      <c r="DG92" s="7">
        <v>0</v>
      </c>
      <c r="DH92" s="7">
        <v>0</v>
      </c>
      <c r="DI92" s="7">
        <v>0</v>
      </c>
      <c r="DJ92" s="7">
        <v>0</v>
      </c>
      <c r="DK92" s="7">
        <v>158027</v>
      </c>
      <c r="DL92" s="7">
        <v>64</v>
      </c>
      <c r="DM92" s="7">
        <v>17</v>
      </c>
      <c r="DN92" s="7">
        <v>16</v>
      </c>
      <c r="DO92" s="7">
        <v>0</v>
      </c>
      <c r="DP92" s="7">
        <v>0</v>
      </c>
      <c r="DQ92" s="7">
        <v>0</v>
      </c>
      <c r="DR92" s="7">
        <v>0</v>
      </c>
      <c r="DS92" s="7">
        <v>1</v>
      </c>
      <c r="DT92" s="7">
        <v>929</v>
      </c>
      <c r="DU92" s="7">
        <v>1256</v>
      </c>
      <c r="DV92" s="7">
        <v>788</v>
      </c>
      <c r="DW92" s="7">
        <v>892</v>
      </c>
      <c r="DX92" s="7">
        <v>236</v>
      </c>
      <c r="DY92" s="7">
        <v>231</v>
      </c>
      <c r="DZ92" s="7">
        <v>230</v>
      </c>
      <c r="EA92" s="7">
        <v>189</v>
      </c>
      <c r="EB92" s="7">
        <v>98</v>
      </c>
      <c r="EC92" s="7">
        <v>105</v>
      </c>
      <c r="ED92" s="7">
        <v>101</v>
      </c>
      <c r="EE92" s="7">
        <v>98</v>
      </c>
      <c r="EF92" s="7">
        <v>191</v>
      </c>
      <c r="EG92" s="7">
        <v>211</v>
      </c>
      <c r="EH92" s="7">
        <v>1421</v>
      </c>
      <c r="EI92" s="7">
        <v>1128</v>
      </c>
      <c r="EJ92" s="7">
        <v>303</v>
      </c>
      <c r="EK92" s="7">
        <v>235</v>
      </c>
      <c r="EL92" s="7">
        <v>142</v>
      </c>
      <c r="EM92" s="7">
        <v>126</v>
      </c>
      <c r="EN92" s="7">
        <v>209</v>
      </c>
      <c r="EO92" s="7">
        <v>47091</v>
      </c>
      <c r="EP92" s="7">
        <v>45790</v>
      </c>
      <c r="EQ92" s="7">
        <v>1301</v>
      </c>
      <c r="ER92" s="7">
        <v>14817</v>
      </c>
      <c r="ES92" s="7">
        <v>27361</v>
      </c>
      <c r="ET92" s="7">
        <v>26799</v>
      </c>
      <c r="EU92" s="7">
        <v>562</v>
      </c>
      <c r="EV92" s="7">
        <v>43030</v>
      </c>
      <c r="EW92" s="134">
        <v>11.108951307</v>
      </c>
      <c r="EX92" s="134">
        <v>19.020312956000001</v>
      </c>
      <c r="EY92" s="134">
        <v>19.714535634000001</v>
      </c>
      <c r="EZ92" s="134">
        <v>49.213445704999998</v>
      </c>
      <c r="FA92" s="134">
        <v>0.94275439790000004</v>
      </c>
      <c r="FB92" s="7">
        <v>7583</v>
      </c>
      <c r="FC92" s="7">
        <v>24135</v>
      </c>
      <c r="FD92" s="7">
        <v>2294</v>
      </c>
      <c r="FE92" s="7">
        <v>11582</v>
      </c>
      <c r="FF92" s="7">
        <v>101</v>
      </c>
      <c r="FG92" s="7">
        <v>11844</v>
      </c>
      <c r="FH92" s="7">
        <v>16575</v>
      </c>
      <c r="FI92" s="134">
        <v>33.394887744000002</v>
      </c>
      <c r="FJ92" s="134">
        <v>26.426280494</v>
      </c>
      <c r="FK92" s="134">
        <v>35.796898212999999</v>
      </c>
      <c r="FL92" s="134">
        <v>4.3819335490000002</v>
      </c>
      <c r="FM92" s="151">
        <v>45813</v>
      </c>
      <c r="FN92" s="151">
        <v>40825</v>
      </c>
      <c r="FO92" s="7">
        <v>9108</v>
      </c>
      <c r="FP92" s="7">
        <v>8731</v>
      </c>
      <c r="FQ92" s="7">
        <v>1209</v>
      </c>
      <c r="FR92" s="7">
        <v>544</v>
      </c>
      <c r="FS92" s="7">
        <v>24697</v>
      </c>
      <c r="FT92" s="7">
        <v>696</v>
      </c>
      <c r="FU92" s="7">
        <v>1143</v>
      </c>
      <c r="FV92" s="7">
        <v>2358</v>
      </c>
      <c r="FW92" s="7">
        <v>53554</v>
      </c>
      <c r="FX92" s="7">
        <v>40997</v>
      </c>
      <c r="FY92" s="7">
        <v>9453</v>
      </c>
      <c r="FZ92" s="7">
        <v>9975</v>
      </c>
      <c r="GA92" s="7">
        <v>1578</v>
      </c>
      <c r="GB92" s="7">
        <v>484</v>
      </c>
      <c r="GC92" s="7">
        <v>30855</v>
      </c>
      <c r="GD92" s="7">
        <v>712</v>
      </c>
      <c r="GE92" s="7">
        <v>895</v>
      </c>
      <c r="GF92" s="7">
        <v>2370</v>
      </c>
      <c r="GG92" s="7">
        <v>5315</v>
      </c>
      <c r="GH92" s="7">
        <v>5939</v>
      </c>
      <c r="GI92" s="7">
        <v>5824</v>
      </c>
      <c r="GJ92" s="7">
        <v>4778</v>
      </c>
      <c r="GK92" s="7">
        <v>3393</v>
      </c>
      <c r="GL92" s="7">
        <v>3450</v>
      </c>
      <c r="GM92" s="7">
        <v>3536</v>
      </c>
      <c r="GN92" s="7">
        <v>3200</v>
      </c>
      <c r="GO92" s="7">
        <v>2611</v>
      </c>
      <c r="GP92" s="7">
        <v>2079</v>
      </c>
      <c r="GQ92" s="7">
        <v>1757</v>
      </c>
      <c r="GR92" s="7">
        <v>1257</v>
      </c>
      <c r="GS92" s="7">
        <v>917</v>
      </c>
      <c r="GT92" s="7">
        <v>615</v>
      </c>
      <c r="GU92" s="7">
        <v>488</v>
      </c>
      <c r="GV92" s="7">
        <v>297</v>
      </c>
      <c r="GW92" s="7">
        <v>195</v>
      </c>
      <c r="GX92" s="7">
        <v>150</v>
      </c>
      <c r="GY92" s="7">
        <v>5176</v>
      </c>
      <c r="GZ92" s="7">
        <v>5963</v>
      </c>
      <c r="HA92" s="7">
        <v>5518</v>
      </c>
      <c r="HB92" s="7">
        <v>5059</v>
      </c>
      <c r="HC92" s="7">
        <v>4527</v>
      </c>
      <c r="HD92" s="7">
        <v>4616</v>
      </c>
      <c r="HE92" s="7">
        <v>4826</v>
      </c>
      <c r="HF92" s="7">
        <v>4274</v>
      </c>
      <c r="HG92" s="7">
        <v>3410</v>
      </c>
      <c r="HH92" s="7">
        <v>2894</v>
      </c>
      <c r="HI92" s="7">
        <v>2265</v>
      </c>
      <c r="HJ92" s="7">
        <v>1490</v>
      </c>
      <c r="HK92" s="7">
        <v>1169</v>
      </c>
      <c r="HL92" s="7">
        <v>834</v>
      </c>
      <c r="HM92" s="7">
        <v>680</v>
      </c>
      <c r="HN92" s="7">
        <v>373</v>
      </c>
      <c r="HO92" s="7">
        <v>274</v>
      </c>
      <c r="HP92" s="7">
        <v>194</v>
      </c>
      <c r="HQ92" s="7">
        <v>37607</v>
      </c>
      <c r="HR92" s="7">
        <v>309</v>
      </c>
      <c r="HS92" s="7">
        <v>2490</v>
      </c>
      <c r="HT92" s="7">
        <v>16</v>
      </c>
      <c r="HU92" s="7">
        <v>6</v>
      </c>
      <c r="HV92" s="7">
        <v>0</v>
      </c>
      <c r="HW92" s="7">
        <v>1</v>
      </c>
      <c r="HX92" s="7">
        <v>1702</v>
      </c>
      <c r="HY92" s="7">
        <v>2661</v>
      </c>
      <c r="HZ92" s="7">
        <v>4924</v>
      </c>
      <c r="IA92" s="7">
        <v>7155</v>
      </c>
      <c r="IB92" s="7">
        <v>8785</v>
      </c>
      <c r="IC92" s="7">
        <v>6880</v>
      </c>
      <c r="ID92" s="7">
        <v>4263</v>
      </c>
      <c r="IE92" s="7">
        <v>2371</v>
      </c>
      <c r="IF92" s="7">
        <v>1393</v>
      </c>
      <c r="IG92" s="7">
        <v>2275</v>
      </c>
      <c r="IH92" s="7">
        <v>4607</v>
      </c>
      <c r="II92" s="7">
        <v>7669</v>
      </c>
      <c r="IJ92" s="7">
        <v>8699</v>
      </c>
      <c r="IK92" s="7">
        <v>7632</v>
      </c>
      <c r="IL92" s="7">
        <v>5477</v>
      </c>
      <c r="IM92" s="7">
        <v>3131</v>
      </c>
      <c r="IN92" s="7">
        <v>1569</v>
      </c>
      <c r="IO92" s="7">
        <v>900</v>
      </c>
      <c r="IP92" s="7">
        <v>858</v>
      </c>
      <c r="IQ92" s="7">
        <v>14707</v>
      </c>
      <c r="IR92" s="7">
        <v>13032</v>
      </c>
      <c r="IS92" s="7">
        <v>8115</v>
      </c>
      <c r="IT92" s="7">
        <v>3183</v>
      </c>
      <c r="IU92" s="7">
        <v>1567</v>
      </c>
      <c r="IV92" s="7">
        <v>29068</v>
      </c>
      <c r="IW92" s="7">
        <v>7270</v>
      </c>
      <c r="IX92" s="7">
        <v>856</v>
      </c>
      <c r="IY92" s="7">
        <v>349</v>
      </c>
      <c r="IZ92" s="7">
        <v>254</v>
      </c>
      <c r="JA92" s="7">
        <v>2741</v>
      </c>
      <c r="JB92" s="7">
        <v>34369</v>
      </c>
      <c r="JC92" s="7">
        <v>2254</v>
      </c>
      <c r="JD92" s="7">
        <v>104</v>
      </c>
      <c r="JE92" s="7">
        <v>158</v>
      </c>
      <c r="JF92" s="151">
        <v>39610.680253092069</v>
      </c>
      <c r="JG92" s="151">
        <v>978.5253775736129</v>
      </c>
      <c r="JH92" s="7">
        <v>6805</v>
      </c>
      <c r="JI92" s="7">
        <v>27053</v>
      </c>
      <c r="JJ92" s="7">
        <v>6626</v>
      </c>
      <c r="JK92" s="7">
        <v>223</v>
      </c>
      <c r="JL92" s="7">
        <v>21268</v>
      </c>
      <c r="JM92" s="7">
        <v>15869</v>
      </c>
      <c r="JN92" s="7">
        <v>11851</v>
      </c>
      <c r="JO92" s="7">
        <v>33230</v>
      </c>
      <c r="JP92" s="7">
        <v>35007</v>
      </c>
      <c r="JQ92" s="7">
        <v>9951</v>
      </c>
      <c r="JR92" s="7">
        <v>9201</v>
      </c>
      <c r="JS92" s="7">
        <v>28556</v>
      </c>
      <c r="JT92" s="7">
        <v>5439</v>
      </c>
      <c r="JU92" s="151">
        <v>22071.784207222117</v>
      </c>
      <c r="JV92" s="151">
        <v>12939.556460396188</v>
      </c>
      <c r="JW92" s="151">
        <v>4391.8759867754907</v>
      </c>
      <c r="JX92" s="151">
        <v>207.4635986982729</v>
      </c>
      <c r="JY92" s="7">
        <v>40182</v>
      </c>
      <c r="JZ92" s="7">
        <v>170682</v>
      </c>
      <c r="KA92" s="7">
        <v>1022</v>
      </c>
      <c r="KB92" s="7">
        <v>7804</v>
      </c>
      <c r="KC92" s="7">
        <v>46</v>
      </c>
      <c r="KD92" s="7">
        <v>22</v>
      </c>
      <c r="KE92" s="7">
        <v>0</v>
      </c>
      <c r="KF92" s="7">
        <v>5</v>
      </c>
      <c r="KG92" s="7">
        <v>5413</v>
      </c>
      <c r="KH92" s="7">
        <v>33447</v>
      </c>
      <c r="KI92" s="7">
        <v>121396</v>
      </c>
      <c r="KJ92" s="7">
        <v>24914</v>
      </c>
      <c r="KK92" s="7">
        <v>959</v>
      </c>
      <c r="KL92" s="7">
        <v>97984</v>
      </c>
      <c r="KM92" s="7">
        <v>57443</v>
      </c>
      <c r="KN92" s="7">
        <v>19497</v>
      </c>
      <c r="KO92" s="7">
        <v>921</v>
      </c>
      <c r="KP92" s="7">
        <v>175845</v>
      </c>
      <c r="KQ92" s="7">
        <v>4344</v>
      </c>
      <c r="KR92" s="7">
        <v>29236</v>
      </c>
      <c r="KS92" s="7">
        <v>29236</v>
      </c>
      <c r="KT92" s="7">
        <v>5596</v>
      </c>
      <c r="KU92" s="7">
        <v>1725</v>
      </c>
      <c r="KV92" s="7">
        <v>4311</v>
      </c>
      <c r="KW92" s="7">
        <v>7</v>
      </c>
      <c r="KX92" s="7">
        <v>5405</v>
      </c>
      <c r="KY92" s="7">
        <v>1582</v>
      </c>
      <c r="KZ92" s="7">
        <v>4211</v>
      </c>
      <c r="LA92" s="7">
        <v>9</v>
      </c>
      <c r="LB92" s="7">
        <v>14225</v>
      </c>
      <c r="LC92" s="7">
        <v>13751</v>
      </c>
      <c r="LD92" s="7">
        <v>4866</v>
      </c>
      <c r="LE92" s="7">
        <v>10986</v>
      </c>
      <c r="LF92" s="7">
        <v>121213</v>
      </c>
      <c r="LG92" s="7">
        <v>240</v>
      </c>
      <c r="LH92" s="7">
        <v>16894</v>
      </c>
      <c r="LI92" s="7">
        <v>2649</v>
      </c>
      <c r="LJ92" s="7">
        <v>9011</v>
      </c>
      <c r="LK92" s="7">
        <v>52</v>
      </c>
      <c r="LL92" s="7">
        <v>10578</v>
      </c>
      <c r="LM92" s="7">
        <v>11838</v>
      </c>
      <c r="LN92" s="7">
        <v>298</v>
      </c>
      <c r="LO92" s="7">
        <v>20311</v>
      </c>
      <c r="LP92" s="7">
        <v>2403</v>
      </c>
      <c r="LQ92" s="7">
        <v>9572</v>
      </c>
      <c r="LR92" s="7">
        <v>107</v>
      </c>
      <c r="LS92" s="7">
        <v>10734</v>
      </c>
      <c r="LT92" s="7">
        <v>10971</v>
      </c>
      <c r="LU92" s="232">
        <v>8.2956024026000001</v>
      </c>
      <c r="LV92" s="232">
        <v>8.8810757507999991</v>
      </c>
      <c r="LW92" s="232">
        <v>7.7887531624999999</v>
      </c>
      <c r="LX92" s="7">
        <v>40707</v>
      </c>
      <c r="LY92" s="7">
        <v>180716</v>
      </c>
    </row>
    <row r="93" spans="1:337" x14ac:dyDescent="0.25">
      <c r="A93" t="s">
        <v>194</v>
      </c>
      <c r="B93" t="s">
        <v>195</v>
      </c>
      <c r="C93" s="7">
        <v>26436</v>
      </c>
      <c r="D93">
        <v>33060</v>
      </c>
      <c r="F93">
        <f t="shared" si="4"/>
        <v>-33060</v>
      </c>
      <c r="G93">
        <f t="shared" si="5"/>
        <v>-100</v>
      </c>
      <c r="H93">
        <v>16685</v>
      </c>
      <c r="I93">
        <v>16375</v>
      </c>
      <c r="J93">
        <v>12355</v>
      </c>
      <c r="K93">
        <v>20705</v>
      </c>
      <c r="L93" s="7">
        <v>1937</v>
      </c>
      <c r="M93" s="7">
        <v>1920</v>
      </c>
      <c r="N93" s="7">
        <v>1798</v>
      </c>
      <c r="O93" s="7">
        <v>1661</v>
      </c>
      <c r="P93" s="7">
        <v>1477</v>
      </c>
      <c r="Q93" s="7">
        <v>1441</v>
      </c>
      <c r="R93" s="7">
        <v>1385</v>
      </c>
      <c r="S93" s="7">
        <v>1149</v>
      </c>
      <c r="T93" s="7">
        <v>851</v>
      </c>
      <c r="U93" s="7">
        <v>710</v>
      </c>
      <c r="V93" s="7">
        <v>575</v>
      </c>
      <c r="W93" s="7">
        <v>488</v>
      </c>
      <c r="X93" s="7">
        <v>391</v>
      </c>
      <c r="Y93" s="7">
        <v>872</v>
      </c>
      <c r="Z93" s="7">
        <v>30</v>
      </c>
      <c r="AA93" s="7">
        <v>1870</v>
      </c>
      <c r="AB93" s="7">
        <v>1880</v>
      </c>
      <c r="AC93" s="7">
        <v>1740</v>
      </c>
      <c r="AD93" s="7">
        <v>1670</v>
      </c>
      <c r="AE93" s="7">
        <v>1547</v>
      </c>
      <c r="AF93" s="7">
        <v>1407</v>
      </c>
      <c r="AG93" s="7">
        <v>1389</v>
      </c>
      <c r="AH93" s="7">
        <v>1179</v>
      </c>
      <c r="AI93" s="7">
        <v>907</v>
      </c>
      <c r="AJ93" s="7">
        <v>663</v>
      </c>
      <c r="AK93" s="7">
        <v>551</v>
      </c>
      <c r="AL93" s="7">
        <v>441</v>
      </c>
      <c r="AM93" s="7">
        <v>338</v>
      </c>
      <c r="AN93" s="7">
        <v>489</v>
      </c>
      <c r="AO93" s="7">
        <v>29</v>
      </c>
      <c r="AP93">
        <v>31855</v>
      </c>
      <c r="AQ93">
        <v>1070</v>
      </c>
      <c r="AR93">
        <v>20</v>
      </c>
      <c r="AS93">
        <v>11</v>
      </c>
      <c r="AT93">
        <v>104</v>
      </c>
      <c r="AU93" s="7">
        <v>497</v>
      </c>
      <c r="AV93" s="7">
        <v>277</v>
      </c>
      <c r="AW93" s="7">
        <v>220</v>
      </c>
      <c r="AX93" s="7">
        <v>468</v>
      </c>
      <c r="AY93" s="7">
        <v>497</v>
      </c>
      <c r="AZ93" s="7">
        <v>427</v>
      </c>
      <c r="BA93" s="7">
        <v>70</v>
      </c>
      <c r="BB93" s="7">
        <v>4</v>
      </c>
      <c r="BC93" s="7">
        <v>5</v>
      </c>
      <c r="BD93" s="7">
        <v>18</v>
      </c>
      <c r="BE93" s="7">
        <v>13</v>
      </c>
      <c r="BF93" s="7">
        <v>13</v>
      </c>
      <c r="BG93" s="7">
        <v>18</v>
      </c>
      <c r="BH93" s="7">
        <v>29</v>
      </c>
      <c r="BI93" s="7">
        <v>20</v>
      </c>
      <c r="BJ93" s="7">
        <v>24</v>
      </c>
      <c r="BK93" s="7">
        <v>25</v>
      </c>
      <c r="BL93" s="7">
        <v>39</v>
      </c>
      <c r="BM93" s="7">
        <v>16</v>
      </c>
      <c r="BN93" s="7">
        <v>19</v>
      </c>
      <c r="BO93" s="7">
        <v>27</v>
      </c>
      <c r="BP93" s="7">
        <v>38</v>
      </c>
      <c r="BQ93" s="7">
        <v>20</v>
      </c>
      <c r="BR93" s="7">
        <v>14</v>
      </c>
      <c r="BS93" s="7">
        <v>16</v>
      </c>
      <c r="BT93" s="7">
        <v>19</v>
      </c>
      <c r="BU93" s="7">
        <v>12</v>
      </c>
      <c r="BV93" s="7">
        <v>18</v>
      </c>
      <c r="BW93" s="7">
        <v>17</v>
      </c>
      <c r="BX93" s="7">
        <v>9</v>
      </c>
      <c r="BY93" s="7">
        <v>10</v>
      </c>
      <c r="BZ93" s="7">
        <v>12</v>
      </c>
      <c r="CA93" s="7">
        <v>6</v>
      </c>
      <c r="CB93" s="7">
        <v>21</v>
      </c>
      <c r="CC93" s="7">
        <v>15</v>
      </c>
      <c r="CD93" s="7">
        <v>237</v>
      </c>
      <c r="CE93" s="7">
        <v>196</v>
      </c>
      <c r="CF93" s="7">
        <v>0</v>
      </c>
      <c r="CG93" s="7">
        <v>2</v>
      </c>
      <c r="CH93" s="7">
        <v>6677</v>
      </c>
      <c r="CI93" s="7">
        <v>1013</v>
      </c>
      <c r="CJ93" s="7">
        <v>29463</v>
      </c>
      <c r="CK93" s="7">
        <v>3546</v>
      </c>
      <c r="CL93" s="7">
        <v>402</v>
      </c>
      <c r="CM93" s="7">
        <v>902</v>
      </c>
      <c r="CN93" s="7">
        <v>1422</v>
      </c>
      <c r="CO93" s="7">
        <v>1935</v>
      </c>
      <c r="CP93" s="7">
        <v>1338</v>
      </c>
      <c r="CQ93" s="7">
        <v>1691</v>
      </c>
      <c r="CR93" s="7">
        <v>6324</v>
      </c>
      <c r="CS93" s="7">
        <v>14938</v>
      </c>
      <c r="CT93" s="7">
        <v>2023</v>
      </c>
      <c r="CU93" s="7">
        <v>983</v>
      </c>
      <c r="CV93" s="7">
        <v>191</v>
      </c>
      <c r="CW93" s="7">
        <v>712</v>
      </c>
      <c r="CX93" s="7">
        <v>71</v>
      </c>
      <c r="CY93" s="7">
        <v>21656</v>
      </c>
      <c r="CZ93" s="7">
        <v>10284</v>
      </c>
      <c r="DA93" s="7">
        <v>259</v>
      </c>
      <c r="DB93" s="7">
        <v>402</v>
      </c>
      <c r="DC93" s="7">
        <v>14</v>
      </c>
      <c r="DD93" s="7">
        <v>3549</v>
      </c>
      <c r="DE93" s="7">
        <v>2062</v>
      </c>
      <c r="DF93" s="7">
        <v>15094</v>
      </c>
      <c r="DG93" s="7">
        <v>2704</v>
      </c>
      <c r="DH93" s="7">
        <v>9651</v>
      </c>
      <c r="DI93" s="7">
        <v>0</v>
      </c>
      <c r="DJ93" s="7">
        <v>0</v>
      </c>
      <c r="DK93" s="7">
        <v>0</v>
      </c>
      <c r="DL93" s="7">
        <v>111</v>
      </c>
      <c r="DM93" s="7">
        <v>6</v>
      </c>
      <c r="DN93" s="7">
        <v>13</v>
      </c>
      <c r="DO93" s="7">
        <v>1</v>
      </c>
      <c r="DP93" s="7">
        <v>1</v>
      </c>
      <c r="DQ93" s="7">
        <v>0</v>
      </c>
      <c r="DR93" s="7">
        <v>0</v>
      </c>
      <c r="DS93" s="7">
        <v>0</v>
      </c>
      <c r="DT93" s="7">
        <v>308</v>
      </c>
      <c r="DU93" s="7">
        <v>268</v>
      </c>
      <c r="DV93" s="7">
        <v>185</v>
      </c>
      <c r="DW93" s="7">
        <v>160</v>
      </c>
      <c r="DX93" s="7">
        <v>94</v>
      </c>
      <c r="DY93" s="7">
        <v>46</v>
      </c>
      <c r="DZ93" s="7">
        <v>71</v>
      </c>
      <c r="EA93" s="7">
        <v>43</v>
      </c>
      <c r="EB93" s="7">
        <v>23</v>
      </c>
      <c r="EC93" s="7">
        <v>25</v>
      </c>
      <c r="ED93" s="7">
        <v>14</v>
      </c>
      <c r="EE93" s="7">
        <v>13</v>
      </c>
      <c r="EF93" s="7">
        <v>55</v>
      </c>
      <c r="EG93" s="7">
        <v>33</v>
      </c>
      <c r="EH93" s="7">
        <v>390</v>
      </c>
      <c r="EI93" s="7">
        <v>241</v>
      </c>
      <c r="EJ93" s="7">
        <v>89</v>
      </c>
      <c r="EK93" s="7">
        <v>66</v>
      </c>
      <c r="EL93" s="7">
        <v>35</v>
      </c>
      <c r="EM93" s="7">
        <v>16</v>
      </c>
      <c r="EN93" s="7">
        <v>50</v>
      </c>
      <c r="EO93" s="7">
        <v>9712</v>
      </c>
      <c r="EP93" s="7">
        <v>9386</v>
      </c>
      <c r="EQ93" s="7">
        <v>326</v>
      </c>
      <c r="ER93" s="7">
        <v>2271</v>
      </c>
      <c r="ES93" s="7">
        <v>2085</v>
      </c>
      <c r="ET93" s="7">
        <v>2061</v>
      </c>
      <c r="EU93" s="7">
        <v>24</v>
      </c>
      <c r="EV93" s="7">
        <v>9785</v>
      </c>
      <c r="EW93" s="134">
        <v>32.343332343</v>
      </c>
      <c r="EX93" s="134">
        <v>37.412137412</v>
      </c>
      <c r="EY93" s="134">
        <v>8.3853083853000001</v>
      </c>
      <c r="EZ93" s="134">
        <v>21.492921493000001</v>
      </c>
      <c r="FA93" s="134">
        <v>0.36630036630000001</v>
      </c>
      <c r="FB93" s="7">
        <v>1441</v>
      </c>
      <c r="FC93" s="7">
        <v>5763</v>
      </c>
      <c r="FD93" s="7">
        <v>434</v>
      </c>
      <c r="FE93" s="7">
        <v>2294</v>
      </c>
      <c r="FF93" s="7">
        <v>10</v>
      </c>
      <c r="FG93" s="7">
        <v>1176</v>
      </c>
      <c r="FH93" s="7">
        <v>661</v>
      </c>
      <c r="FI93" s="134">
        <v>32.838332837999999</v>
      </c>
      <c r="FJ93" s="134">
        <v>28.274428274000002</v>
      </c>
      <c r="FK93" s="134">
        <v>36.936936936999999</v>
      </c>
      <c r="FL93" s="134">
        <v>1.9503019503000001</v>
      </c>
      <c r="FM93" s="151">
        <v>10600</v>
      </c>
      <c r="FN93" s="151">
        <v>6034</v>
      </c>
      <c r="FO93" s="7">
        <v>1276</v>
      </c>
      <c r="FP93" s="7">
        <v>267</v>
      </c>
      <c r="FQ93" s="7">
        <v>65</v>
      </c>
      <c r="FR93" s="7">
        <v>341</v>
      </c>
      <c r="FS93" s="7">
        <v>8454</v>
      </c>
      <c r="FT93" s="7">
        <v>90</v>
      </c>
      <c r="FU93" s="7">
        <v>153</v>
      </c>
      <c r="FV93" s="7">
        <v>51</v>
      </c>
      <c r="FW93" s="7">
        <v>11245</v>
      </c>
      <c r="FX93" s="7">
        <v>5082</v>
      </c>
      <c r="FY93" s="7">
        <v>1245</v>
      </c>
      <c r="FZ93" s="7">
        <v>275</v>
      </c>
      <c r="GA93" s="7">
        <v>69</v>
      </c>
      <c r="GB93" s="7">
        <v>293</v>
      </c>
      <c r="GC93" s="7">
        <v>9232</v>
      </c>
      <c r="GD93" s="7">
        <v>64</v>
      </c>
      <c r="GE93" s="7">
        <v>109</v>
      </c>
      <c r="GF93" s="7">
        <v>48</v>
      </c>
      <c r="GG93" s="7">
        <v>1303</v>
      </c>
      <c r="GH93" s="7">
        <v>1372</v>
      </c>
      <c r="GI93" s="7">
        <v>1304</v>
      </c>
      <c r="GJ93" s="7">
        <v>978</v>
      </c>
      <c r="GK93" s="7">
        <v>702</v>
      </c>
      <c r="GL93" s="7">
        <v>807</v>
      </c>
      <c r="GM93" s="7">
        <v>896</v>
      </c>
      <c r="GN93" s="7">
        <v>749</v>
      </c>
      <c r="GO93" s="7">
        <v>538</v>
      </c>
      <c r="GP93" s="7">
        <v>426</v>
      </c>
      <c r="GQ93" s="7">
        <v>363</v>
      </c>
      <c r="GR93" s="7">
        <v>304</v>
      </c>
      <c r="GS93" s="7">
        <v>250</v>
      </c>
      <c r="GT93" s="7">
        <v>176</v>
      </c>
      <c r="GU93" s="7">
        <v>190</v>
      </c>
      <c r="GV93" s="7">
        <v>107</v>
      </c>
      <c r="GW93" s="7">
        <v>69</v>
      </c>
      <c r="GX93" s="7">
        <v>63</v>
      </c>
      <c r="GY93" s="7">
        <v>1262</v>
      </c>
      <c r="GZ93" s="7">
        <v>1363</v>
      </c>
      <c r="HA93" s="7">
        <v>1238</v>
      </c>
      <c r="HB93" s="7">
        <v>1034</v>
      </c>
      <c r="HC93" s="7">
        <v>923</v>
      </c>
      <c r="HD93" s="7">
        <v>949</v>
      </c>
      <c r="HE93" s="7">
        <v>1008</v>
      </c>
      <c r="HF93" s="7">
        <v>829</v>
      </c>
      <c r="HG93" s="7">
        <v>672</v>
      </c>
      <c r="HH93" s="7">
        <v>465</v>
      </c>
      <c r="HI93" s="7">
        <v>393</v>
      </c>
      <c r="HJ93" s="7">
        <v>306</v>
      </c>
      <c r="HK93" s="7">
        <v>260</v>
      </c>
      <c r="HL93" s="7">
        <v>215</v>
      </c>
      <c r="HM93" s="7">
        <v>153</v>
      </c>
      <c r="HN93" s="7">
        <v>81</v>
      </c>
      <c r="HO93" s="7">
        <v>42</v>
      </c>
      <c r="HP93" s="7">
        <v>50</v>
      </c>
      <c r="HQ93" s="7">
        <v>7623</v>
      </c>
      <c r="HR93" s="7">
        <v>45</v>
      </c>
      <c r="HS93" s="7">
        <v>5</v>
      </c>
      <c r="HT93" s="7">
        <v>1</v>
      </c>
      <c r="HU93" s="7">
        <v>1</v>
      </c>
      <c r="HV93" s="7">
        <v>0</v>
      </c>
      <c r="HW93" s="7">
        <v>0</v>
      </c>
      <c r="HX93" s="7">
        <v>32</v>
      </c>
      <c r="HY93" s="7">
        <v>401</v>
      </c>
      <c r="HZ93" s="7">
        <v>902</v>
      </c>
      <c r="IA93" s="7">
        <v>1422</v>
      </c>
      <c r="IB93" s="7">
        <v>1935</v>
      </c>
      <c r="IC93" s="7">
        <v>1338</v>
      </c>
      <c r="ID93" s="7">
        <v>787</v>
      </c>
      <c r="IE93" s="7">
        <v>420</v>
      </c>
      <c r="IF93" s="7">
        <v>217</v>
      </c>
      <c r="IG93" s="7">
        <v>267</v>
      </c>
      <c r="IH93" s="7">
        <v>1204</v>
      </c>
      <c r="II93" s="7">
        <v>1733</v>
      </c>
      <c r="IJ93" s="7">
        <v>2205</v>
      </c>
      <c r="IK93" s="7">
        <v>1642</v>
      </c>
      <c r="IL93" s="7">
        <v>571</v>
      </c>
      <c r="IM93" s="7">
        <v>197</v>
      </c>
      <c r="IN93" s="7">
        <v>66</v>
      </c>
      <c r="IO93" s="7">
        <v>24</v>
      </c>
      <c r="IP93" s="7">
        <v>21</v>
      </c>
      <c r="IQ93" s="7">
        <v>4122</v>
      </c>
      <c r="IR93" s="7">
        <v>2551</v>
      </c>
      <c r="IS93" s="7">
        <v>785</v>
      </c>
      <c r="IT93" s="7">
        <v>174</v>
      </c>
      <c r="IU93" s="7">
        <v>39</v>
      </c>
      <c r="IV93" s="7">
        <v>3300</v>
      </c>
      <c r="IW93" s="7">
        <v>2778</v>
      </c>
      <c r="IX93" s="7">
        <v>98</v>
      </c>
      <c r="IY93" s="7">
        <v>223</v>
      </c>
      <c r="IZ93" s="7">
        <v>216</v>
      </c>
      <c r="JA93" s="7">
        <v>1054</v>
      </c>
      <c r="JB93" s="7">
        <v>4862</v>
      </c>
      <c r="JC93" s="7">
        <v>1963</v>
      </c>
      <c r="JD93" s="7">
        <v>78</v>
      </c>
      <c r="JE93" s="7">
        <v>267</v>
      </c>
      <c r="JF93" s="151">
        <v>7231.9868942223784</v>
      </c>
      <c r="JG93" s="151">
        <v>436.81266071793829</v>
      </c>
      <c r="JH93" s="7">
        <v>396</v>
      </c>
      <c r="JI93" s="7">
        <v>6508</v>
      </c>
      <c r="JJ93" s="7">
        <v>754</v>
      </c>
      <c r="JK93" s="7">
        <v>31</v>
      </c>
      <c r="JL93" s="7">
        <v>4812</v>
      </c>
      <c r="JM93" s="7">
        <v>2743</v>
      </c>
      <c r="JN93" s="7">
        <v>1130</v>
      </c>
      <c r="JO93" s="7">
        <v>5239</v>
      </c>
      <c r="JP93" s="7">
        <v>6677</v>
      </c>
      <c r="JQ93" s="7">
        <v>630</v>
      </c>
      <c r="JR93" s="7">
        <v>722</v>
      </c>
      <c r="JS93" s="7">
        <v>3915</v>
      </c>
      <c r="JT93" s="7">
        <v>210</v>
      </c>
      <c r="JU93" s="151">
        <v>1107.2909740759258</v>
      </c>
      <c r="JV93" s="151">
        <v>6055.271827936348</v>
      </c>
      <c r="JW93" s="151">
        <v>57.076854333810608</v>
      </c>
      <c r="JX93" s="151">
        <v>12.347237876293724</v>
      </c>
      <c r="JY93" s="7">
        <v>7566</v>
      </c>
      <c r="JZ93" s="7">
        <v>32743</v>
      </c>
      <c r="KA93" s="7">
        <v>183</v>
      </c>
      <c r="KB93" s="7">
        <v>18</v>
      </c>
      <c r="KC93" s="7">
        <v>4</v>
      </c>
      <c r="KD93" s="7">
        <v>1</v>
      </c>
      <c r="KE93" s="7">
        <v>0</v>
      </c>
      <c r="KF93" s="7">
        <v>0</v>
      </c>
      <c r="KG93" s="7">
        <v>111</v>
      </c>
      <c r="KH93" s="7">
        <v>1638</v>
      </c>
      <c r="KI93" s="7">
        <v>28042</v>
      </c>
      <c r="KJ93" s="7">
        <v>3184</v>
      </c>
      <c r="KK93" s="7">
        <v>144</v>
      </c>
      <c r="KL93" s="7">
        <v>4753</v>
      </c>
      <c r="KM93" s="7">
        <v>25992</v>
      </c>
      <c r="KN93" s="7">
        <v>245</v>
      </c>
      <c r="KO93" s="7">
        <v>53</v>
      </c>
      <c r="KP93" s="7">
        <v>31043</v>
      </c>
      <c r="KQ93" s="7">
        <v>1875</v>
      </c>
      <c r="KR93" s="7">
        <v>4275</v>
      </c>
      <c r="KS93" s="7">
        <v>4275</v>
      </c>
      <c r="KT93" s="7">
        <v>863</v>
      </c>
      <c r="KU93" s="7">
        <v>305</v>
      </c>
      <c r="KV93" s="7">
        <v>619</v>
      </c>
      <c r="KW93" s="7">
        <v>3</v>
      </c>
      <c r="KX93" s="7">
        <v>908</v>
      </c>
      <c r="KY93" s="7">
        <v>299</v>
      </c>
      <c r="KZ93" s="7">
        <v>611</v>
      </c>
      <c r="LA93" s="7">
        <v>1</v>
      </c>
      <c r="LB93" s="7">
        <v>2815</v>
      </c>
      <c r="LC93" s="7">
        <v>2746</v>
      </c>
      <c r="LD93" s="7">
        <v>1382</v>
      </c>
      <c r="LE93" s="7">
        <v>1960</v>
      </c>
      <c r="LF93" s="7">
        <v>21856</v>
      </c>
      <c r="LG93" s="7">
        <v>23</v>
      </c>
      <c r="LH93" s="7">
        <v>5070</v>
      </c>
      <c r="LI93" s="7">
        <v>550</v>
      </c>
      <c r="LJ93" s="7">
        <v>2108</v>
      </c>
      <c r="LK93" s="7">
        <v>10</v>
      </c>
      <c r="LL93" s="7">
        <v>1200</v>
      </c>
      <c r="LM93" s="7">
        <v>580</v>
      </c>
      <c r="LN93" s="7">
        <v>20</v>
      </c>
      <c r="LO93" s="7">
        <v>5629</v>
      </c>
      <c r="LP93" s="7">
        <v>427</v>
      </c>
      <c r="LQ93" s="7">
        <v>1687</v>
      </c>
      <c r="LR93" s="7">
        <v>8</v>
      </c>
      <c r="LS93" s="7">
        <v>841</v>
      </c>
      <c r="LT93" s="7">
        <v>384</v>
      </c>
      <c r="LU93" s="232">
        <v>5.8258830022000003</v>
      </c>
      <c r="LV93" s="232">
        <v>6.2467318768000002</v>
      </c>
      <c r="LW93" s="232">
        <v>5.3998149005</v>
      </c>
      <c r="LX93" s="7">
        <v>7689</v>
      </c>
      <c r="LY93" s="7">
        <v>33008</v>
      </c>
    </row>
    <row r="94" spans="1:337" x14ac:dyDescent="0.25">
      <c r="A94" t="s">
        <v>258</v>
      </c>
      <c r="B94" t="s">
        <v>259</v>
      </c>
      <c r="C94" s="7">
        <v>20688</v>
      </c>
      <c r="D94">
        <v>29016</v>
      </c>
      <c r="F94">
        <f t="shared" si="4"/>
        <v>-29016</v>
      </c>
      <c r="G94">
        <f t="shared" si="5"/>
        <v>-100</v>
      </c>
      <c r="H94">
        <v>14154</v>
      </c>
      <c r="I94">
        <v>14862</v>
      </c>
      <c r="J94">
        <v>6327</v>
      </c>
      <c r="K94">
        <v>22689</v>
      </c>
      <c r="L94" s="7">
        <v>2324</v>
      </c>
      <c r="M94" s="7">
        <v>2324</v>
      </c>
      <c r="N94" s="7">
        <v>2146</v>
      </c>
      <c r="O94" s="7">
        <v>1560</v>
      </c>
      <c r="P94" s="7">
        <v>1057</v>
      </c>
      <c r="Q94" s="7">
        <v>891</v>
      </c>
      <c r="R94" s="7">
        <v>797</v>
      </c>
      <c r="S94" s="7">
        <v>673</v>
      </c>
      <c r="T94" s="7">
        <v>544</v>
      </c>
      <c r="U94" s="7">
        <v>462</v>
      </c>
      <c r="V94" s="7">
        <v>345</v>
      </c>
      <c r="W94" s="7">
        <v>271</v>
      </c>
      <c r="X94" s="7">
        <v>188</v>
      </c>
      <c r="Y94" s="7">
        <v>444</v>
      </c>
      <c r="Z94" s="7">
        <v>128</v>
      </c>
      <c r="AA94" s="7">
        <v>2389</v>
      </c>
      <c r="AB94" s="7">
        <v>2400</v>
      </c>
      <c r="AC94" s="7">
        <v>2221</v>
      </c>
      <c r="AD94" s="7">
        <v>1593</v>
      </c>
      <c r="AE94" s="7">
        <v>1242</v>
      </c>
      <c r="AF94" s="7">
        <v>1088</v>
      </c>
      <c r="AG94" s="7">
        <v>819</v>
      </c>
      <c r="AH94" s="7">
        <v>780</v>
      </c>
      <c r="AI94" s="7">
        <v>544</v>
      </c>
      <c r="AJ94" s="7">
        <v>461</v>
      </c>
      <c r="AK94" s="7">
        <v>344</v>
      </c>
      <c r="AL94" s="7">
        <v>234</v>
      </c>
      <c r="AM94" s="7">
        <v>190</v>
      </c>
      <c r="AN94" s="7">
        <v>427</v>
      </c>
      <c r="AO94" s="7">
        <v>130</v>
      </c>
      <c r="AP94">
        <v>28747</v>
      </c>
      <c r="AQ94" t="s">
        <v>358</v>
      </c>
      <c r="AR94">
        <v>3</v>
      </c>
      <c r="AS94" t="s">
        <v>358</v>
      </c>
      <c r="AT94">
        <v>266</v>
      </c>
      <c r="AU94" s="7">
        <v>25926</v>
      </c>
      <c r="AV94" s="7">
        <v>12637</v>
      </c>
      <c r="AW94" s="7">
        <v>13289</v>
      </c>
      <c r="AX94" s="7">
        <v>15810</v>
      </c>
      <c r="AY94" s="7">
        <v>25926</v>
      </c>
      <c r="AZ94" s="7">
        <v>20225</v>
      </c>
      <c r="BA94" s="7">
        <v>5701</v>
      </c>
      <c r="BB94" s="7">
        <v>959</v>
      </c>
      <c r="BC94" s="7">
        <v>969</v>
      </c>
      <c r="BD94" s="7">
        <v>2315</v>
      </c>
      <c r="BE94" s="7">
        <v>2395</v>
      </c>
      <c r="BF94" s="7">
        <v>2141</v>
      </c>
      <c r="BG94" s="7">
        <v>2213</v>
      </c>
      <c r="BH94" s="7">
        <v>1555</v>
      </c>
      <c r="BI94" s="7">
        <v>1593</v>
      </c>
      <c r="BJ94" s="7">
        <v>1055</v>
      </c>
      <c r="BK94" s="7">
        <v>1239</v>
      </c>
      <c r="BL94" s="7">
        <v>891</v>
      </c>
      <c r="BM94" s="7">
        <v>1088</v>
      </c>
      <c r="BN94" s="7">
        <v>797</v>
      </c>
      <c r="BO94" s="7">
        <v>818</v>
      </c>
      <c r="BP94" s="7">
        <v>671</v>
      </c>
      <c r="BQ94" s="7">
        <v>779</v>
      </c>
      <c r="BR94" s="7">
        <v>543</v>
      </c>
      <c r="BS94" s="7">
        <v>541</v>
      </c>
      <c r="BT94" s="7">
        <v>462</v>
      </c>
      <c r="BU94" s="7">
        <v>461</v>
      </c>
      <c r="BV94" s="7">
        <v>345</v>
      </c>
      <c r="BW94" s="7">
        <v>344</v>
      </c>
      <c r="BX94" s="7">
        <v>271</v>
      </c>
      <c r="BY94" s="7">
        <v>233</v>
      </c>
      <c r="BZ94" s="7">
        <v>188</v>
      </c>
      <c r="CA94" s="7">
        <v>190</v>
      </c>
      <c r="CB94" s="7">
        <v>444</v>
      </c>
      <c r="CC94" s="7">
        <v>426</v>
      </c>
      <c r="CD94" s="7">
        <v>4545</v>
      </c>
      <c r="CE94" s="7">
        <v>2001</v>
      </c>
      <c r="CF94" s="7">
        <v>8033</v>
      </c>
      <c r="CG94" s="7">
        <v>11234</v>
      </c>
      <c r="CH94" s="7">
        <v>4552</v>
      </c>
      <c r="CI94" s="7">
        <v>485</v>
      </c>
      <c r="CJ94" s="7">
        <v>26870</v>
      </c>
      <c r="CK94" s="7">
        <v>1894</v>
      </c>
      <c r="CL94" s="7">
        <v>143</v>
      </c>
      <c r="CM94" s="7">
        <v>442</v>
      </c>
      <c r="CN94" s="7">
        <v>572</v>
      </c>
      <c r="CO94" s="7">
        <v>593</v>
      </c>
      <c r="CP94" s="7">
        <v>699</v>
      </c>
      <c r="CQ94" s="7">
        <v>2588</v>
      </c>
      <c r="CR94" s="7">
        <v>4366</v>
      </c>
      <c r="CS94" s="7">
        <v>17439</v>
      </c>
      <c r="CT94" s="7">
        <v>792</v>
      </c>
      <c r="CU94" s="7">
        <v>353</v>
      </c>
      <c r="CV94" s="7">
        <v>162</v>
      </c>
      <c r="CW94" s="7">
        <v>424</v>
      </c>
      <c r="CX94" s="7">
        <v>3</v>
      </c>
      <c r="CY94" s="7">
        <v>21698</v>
      </c>
      <c r="CZ94" s="7">
        <v>5802</v>
      </c>
      <c r="DA94" s="7">
        <v>6</v>
      </c>
      <c r="DB94" s="7">
        <v>143</v>
      </c>
      <c r="DC94" s="7">
        <v>2</v>
      </c>
      <c r="DD94" s="7">
        <v>1317</v>
      </c>
      <c r="DE94" s="7">
        <v>4215</v>
      </c>
      <c r="DF94" s="7">
        <v>17157</v>
      </c>
      <c r="DG94" s="7">
        <v>0</v>
      </c>
      <c r="DH94" s="7">
        <v>6327</v>
      </c>
      <c r="DI94" s="7">
        <v>0</v>
      </c>
      <c r="DJ94" s="7">
        <v>0</v>
      </c>
      <c r="DK94" s="7">
        <v>0</v>
      </c>
      <c r="DL94" s="7">
        <v>7</v>
      </c>
      <c r="DM94" s="7">
        <v>11</v>
      </c>
      <c r="DN94" s="7">
        <v>18</v>
      </c>
      <c r="DO94" s="7">
        <v>0</v>
      </c>
      <c r="DP94" s="7">
        <v>1</v>
      </c>
      <c r="DQ94" s="7">
        <v>0</v>
      </c>
      <c r="DR94" s="7">
        <v>0</v>
      </c>
      <c r="DS94" s="7">
        <v>0</v>
      </c>
      <c r="DT94" s="7">
        <v>63</v>
      </c>
      <c r="DU94" s="7">
        <v>42</v>
      </c>
      <c r="DV94" s="7">
        <v>25</v>
      </c>
      <c r="DW94" s="7">
        <v>19</v>
      </c>
      <c r="DX94" s="7">
        <v>15</v>
      </c>
      <c r="DY94" s="7">
        <v>21</v>
      </c>
      <c r="DZ94" s="7">
        <v>25</v>
      </c>
      <c r="EA94" s="7">
        <v>18</v>
      </c>
      <c r="EB94" s="7">
        <v>2</v>
      </c>
      <c r="EC94" s="7">
        <v>0</v>
      </c>
      <c r="ED94" s="7">
        <v>0</v>
      </c>
      <c r="EE94" s="7">
        <v>0</v>
      </c>
      <c r="EF94" s="7">
        <v>19</v>
      </c>
      <c r="EG94" s="7">
        <v>14</v>
      </c>
      <c r="EH94" s="7">
        <v>46</v>
      </c>
      <c r="EI94" s="7">
        <v>23</v>
      </c>
      <c r="EJ94" s="7">
        <v>17</v>
      </c>
      <c r="EK94" s="7">
        <v>13</v>
      </c>
      <c r="EL94" s="7">
        <v>0</v>
      </c>
      <c r="EM94" s="7">
        <v>0</v>
      </c>
      <c r="EN94" s="7">
        <v>8</v>
      </c>
      <c r="EO94" s="7">
        <v>6079</v>
      </c>
      <c r="EP94" s="7">
        <v>6023</v>
      </c>
      <c r="EQ94" s="7">
        <v>56</v>
      </c>
      <c r="ER94" s="7">
        <v>2353</v>
      </c>
      <c r="ES94" s="7">
        <v>876</v>
      </c>
      <c r="ET94" s="7">
        <v>873</v>
      </c>
      <c r="EU94" s="7">
        <v>3</v>
      </c>
      <c r="EV94" s="7">
        <v>8099</v>
      </c>
      <c r="EW94" s="134">
        <v>96.449359720999993</v>
      </c>
      <c r="EX94" s="134">
        <v>1.2951105937</v>
      </c>
      <c r="EY94" s="134">
        <v>0.59662398139999995</v>
      </c>
      <c r="EZ94" s="134">
        <v>1.5133876601</v>
      </c>
      <c r="FA94" s="134">
        <v>0.1455180442</v>
      </c>
      <c r="FB94" s="7">
        <v>1667</v>
      </c>
      <c r="FC94" s="7">
        <v>3706</v>
      </c>
      <c r="FD94" s="7">
        <v>215</v>
      </c>
      <c r="FE94" s="7">
        <v>861</v>
      </c>
      <c r="FF94" s="7">
        <v>0</v>
      </c>
      <c r="FG94" s="7">
        <v>492</v>
      </c>
      <c r="FH94" s="7">
        <v>6</v>
      </c>
      <c r="FI94" s="134">
        <v>95.357974389000006</v>
      </c>
      <c r="FJ94" s="134">
        <v>1.4115250291000001</v>
      </c>
      <c r="FK94" s="134">
        <v>1.4260768335</v>
      </c>
      <c r="FL94" s="134">
        <v>1.8044237485000001</v>
      </c>
      <c r="FM94" s="151">
        <v>4533</v>
      </c>
      <c r="FN94" s="151">
        <v>9447</v>
      </c>
      <c r="FO94" s="7">
        <v>77</v>
      </c>
      <c r="FP94" s="7">
        <v>9</v>
      </c>
      <c r="FQ94" s="7">
        <v>5</v>
      </c>
      <c r="FR94" s="7">
        <v>1</v>
      </c>
      <c r="FS94" s="7">
        <v>4311</v>
      </c>
      <c r="FT94" s="7">
        <v>97</v>
      </c>
      <c r="FU94" s="7">
        <v>37</v>
      </c>
      <c r="FV94" s="7">
        <v>174</v>
      </c>
      <c r="FW94" s="7">
        <v>4824</v>
      </c>
      <c r="FX94" s="7">
        <v>9873</v>
      </c>
      <c r="FY94" s="7">
        <v>76</v>
      </c>
      <c r="FZ94" s="7">
        <v>6</v>
      </c>
      <c r="GA94" s="7">
        <v>6</v>
      </c>
      <c r="GB94" s="7">
        <v>3</v>
      </c>
      <c r="GC94" s="7">
        <v>4604</v>
      </c>
      <c r="GD94" s="7">
        <v>95</v>
      </c>
      <c r="GE94" s="7">
        <v>37</v>
      </c>
      <c r="GF94" s="7">
        <v>165</v>
      </c>
      <c r="GG94" s="7">
        <v>765</v>
      </c>
      <c r="GH94" s="7">
        <v>791</v>
      </c>
      <c r="GI94" s="7">
        <v>766</v>
      </c>
      <c r="GJ94" s="7">
        <v>476</v>
      </c>
      <c r="GK94" s="7">
        <v>267</v>
      </c>
      <c r="GL94" s="7">
        <v>252</v>
      </c>
      <c r="GM94" s="7">
        <v>268</v>
      </c>
      <c r="GN94" s="7">
        <v>223</v>
      </c>
      <c r="GO94" s="7">
        <v>184</v>
      </c>
      <c r="GP94" s="7">
        <v>136</v>
      </c>
      <c r="GQ94" s="7">
        <v>118</v>
      </c>
      <c r="GR94" s="7">
        <v>82</v>
      </c>
      <c r="GS94" s="7">
        <v>60</v>
      </c>
      <c r="GT94" s="7">
        <v>30</v>
      </c>
      <c r="GU94" s="7">
        <v>39</v>
      </c>
      <c r="GV94" s="7">
        <v>30</v>
      </c>
      <c r="GW94" s="7">
        <v>15</v>
      </c>
      <c r="GX94" s="7">
        <v>30</v>
      </c>
      <c r="GY94" s="7">
        <v>775</v>
      </c>
      <c r="GZ94" s="7">
        <v>851</v>
      </c>
      <c r="HA94" s="7">
        <v>751</v>
      </c>
      <c r="HB94" s="7">
        <v>444</v>
      </c>
      <c r="HC94" s="7">
        <v>348</v>
      </c>
      <c r="HD94" s="7">
        <v>367</v>
      </c>
      <c r="HE94" s="7">
        <v>304</v>
      </c>
      <c r="HF94" s="7">
        <v>237</v>
      </c>
      <c r="HG94" s="7">
        <v>203</v>
      </c>
      <c r="HH94" s="7">
        <v>139</v>
      </c>
      <c r="HI94" s="7">
        <v>118</v>
      </c>
      <c r="HJ94" s="7">
        <v>73</v>
      </c>
      <c r="HK94" s="7">
        <v>66</v>
      </c>
      <c r="HL94" s="7">
        <v>35</v>
      </c>
      <c r="HM94" s="7">
        <v>50</v>
      </c>
      <c r="HN94" s="7">
        <v>25</v>
      </c>
      <c r="HO94" s="7">
        <v>15</v>
      </c>
      <c r="HP94" s="7">
        <v>22</v>
      </c>
      <c r="HQ94" s="7">
        <v>5019</v>
      </c>
      <c r="HR94" s="7">
        <v>0</v>
      </c>
      <c r="HS94" s="7">
        <v>2</v>
      </c>
      <c r="HT94" s="7">
        <v>1</v>
      </c>
      <c r="HU94" s="7">
        <v>0</v>
      </c>
      <c r="HV94" s="7">
        <v>0</v>
      </c>
      <c r="HW94" s="7">
        <v>0</v>
      </c>
      <c r="HX94" s="7">
        <v>99</v>
      </c>
      <c r="HY94" s="7">
        <v>143</v>
      </c>
      <c r="HZ94" s="7">
        <v>442</v>
      </c>
      <c r="IA94" s="7">
        <v>572</v>
      </c>
      <c r="IB94" s="7">
        <v>593</v>
      </c>
      <c r="IC94" s="7">
        <v>699</v>
      </c>
      <c r="ID94" s="7">
        <v>797</v>
      </c>
      <c r="IE94" s="7">
        <v>551</v>
      </c>
      <c r="IF94" s="7">
        <v>490</v>
      </c>
      <c r="IG94" s="7">
        <v>750</v>
      </c>
      <c r="IH94" s="7">
        <v>475</v>
      </c>
      <c r="II94" s="7">
        <v>2885</v>
      </c>
      <c r="IJ94" s="7">
        <v>1208</v>
      </c>
      <c r="IK94" s="7">
        <v>316</v>
      </c>
      <c r="IL94" s="7">
        <v>77</v>
      </c>
      <c r="IM94" s="7">
        <v>17</v>
      </c>
      <c r="IN94" s="7">
        <v>11</v>
      </c>
      <c r="IO94" s="7">
        <v>1</v>
      </c>
      <c r="IP94" s="7">
        <v>5</v>
      </c>
      <c r="IQ94" s="7">
        <v>3330</v>
      </c>
      <c r="IR94" s="7">
        <v>1243</v>
      </c>
      <c r="IS94" s="7">
        <v>318</v>
      </c>
      <c r="IT94" s="7">
        <v>75</v>
      </c>
      <c r="IU94" s="7">
        <v>32</v>
      </c>
      <c r="IV94" s="7">
        <v>321</v>
      </c>
      <c r="IW94" s="7">
        <v>2999</v>
      </c>
      <c r="IX94" s="7">
        <v>18</v>
      </c>
      <c r="IY94" s="7">
        <v>55</v>
      </c>
      <c r="IZ94" s="7">
        <v>2</v>
      </c>
      <c r="JA94" s="7">
        <v>1625</v>
      </c>
      <c r="JB94" s="7">
        <v>176</v>
      </c>
      <c r="JC94" s="7">
        <v>393</v>
      </c>
      <c r="JD94" s="7">
        <v>36</v>
      </c>
      <c r="JE94" s="7">
        <v>2</v>
      </c>
      <c r="JF94" s="151">
        <v>4684.1438168215909</v>
      </c>
      <c r="JG94" s="151">
        <v>350.40456755243196</v>
      </c>
      <c r="JH94" s="7">
        <v>2044</v>
      </c>
      <c r="JI94" s="7">
        <v>2910</v>
      </c>
      <c r="JJ94" s="7">
        <v>67</v>
      </c>
      <c r="JK94" s="7">
        <v>16</v>
      </c>
      <c r="JL94" s="7">
        <v>60</v>
      </c>
      <c r="JM94" s="7">
        <v>8</v>
      </c>
      <c r="JN94" s="7">
        <v>40</v>
      </c>
      <c r="JO94" s="7">
        <v>1900</v>
      </c>
      <c r="JP94" s="7">
        <v>1263</v>
      </c>
      <c r="JQ94" s="7">
        <v>10</v>
      </c>
      <c r="JR94" s="7">
        <v>11</v>
      </c>
      <c r="JS94" s="7">
        <v>101</v>
      </c>
      <c r="JT94" s="7">
        <v>8</v>
      </c>
      <c r="JU94" s="151">
        <v>233.95327448778065</v>
      </c>
      <c r="JV94" s="151">
        <v>437.43658657969769</v>
      </c>
      <c r="JW94" s="151">
        <v>3998.2194334618325</v>
      </c>
      <c r="JX94" s="151">
        <v>14.534522292279787</v>
      </c>
      <c r="JY94" s="7">
        <v>4698</v>
      </c>
      <c r="JZ94" s="7">
        <v>28667</v>
      </c>
      <c r="KA94" s="7">
        <v>0</v>
      </c>
      <c r="KB94" s="7">
        <v>8</v>
      </c>
      <c r="KC94" s="7">
        <v>2</v>
      </c>
      <c r="KD94" s="7">
        <v>0</v>
      </c>
      <c r="KE94" s="7">
        <v>0</v>
      </c>
      <c r="KF94" s="7">
        <v>0</v>
      </c>
      <c r="KG94" s="7">
        <v>339</v>
      </c>
      <c r="KH94" s="7">
        <v>10816</v>
      </c>
      <c r="KI94" s="7">
        <v>17518</v>
      </c>
      <c r="KJ94" s="7">
        <v>355</v>
      </c>
      <c r="KK94" s="7">
        <v>75</v>
      </c>
      <c r="KL94" s="7">
        <v>1336</v>
      </c>
      <c r="KM94" s="7">
        <v>2498</v>
      </c>
      <c r="KN94" s="7">
        <v>22832</v>
      </c>
      <c r="KO94" s="7">
        <v>83</v>
      </c>
      <c r="KP94" s="7">
        <v>26749</v>
      </c>
      <c r="KQ94" s="7">
        <v>2001</v>
      </c>
      <c r="KR94" s="7">
        <v>5055</v>
      </c>
      <c r="KS94" s="7">
        <v>5055</v>
      </c>
      <c r="KT94" s="7">
        <v>1049</v>
      </c>
      <c r="KU94" s="7">
        <v>325</v>
      </c>
      <c r="KV94" s="7">
        <v>750</v>
      </c>
      <c r="KW94" s="7">
        <v>1</v>
      </c>
      <c r="KX94" s="7">
        <v>1047</v>
      </c>
      <c r="KY94" s="7">
        <v>274</v>
      </c>
      <c r="KZ94" s="7">
        <v>429</v>
      </c>
      <c r="LA94" s="7">
        <v>0</v>
      </c>
      <c r="LB94" s="7">
        <v>2464</v>
      </c>
      <c r="LC94" s="7">
        <v>2452</v>
      </c>
      <c r="LD94" s="7">
        <v>1735</v>
      </c>
      <c r="LE94" s="7">
        <v>3857</v>
      </c>
      <c r="LF94" s="7">
        <v>14954</v>
      </c>
      <c r="LG94" s="7">
        <v>14</v>
      </c>
      <c r="LH94" s="7">
        <v>3398</v>
      </c>
      <c r="LI94" s="7">
        <v>567</v>
      </c>
      <c r="LJ94" s="7">
        <v>975</v>
      </c>
      <c r="LK94" s="7">
        <v>1</v>
      </c>
      <c r="LL94" s="7">
        <v>779</v>
      </c>
      <c r="LM94" s="7">
        <v>18</v>
      </c>
      <c r="LN94" s="7">
        <v>24</v>
      </c>
      <c r="LO94" s="7">
        <v>3515</v>
      </c>
      <c r="LP94" s="7">
        <v>329</v>
      </c>
      <c r="LQ94" s="7">
        <v>458</v>
      </c>
      <c r="LR94" s="7">
        <v>0</v>
      </c>
      <c r="LS94" s="7">
        <v>180</v>
      </c>
      <c r="LT94" s="7">
        <v>4</v>
      </c>
      <c r="LU94" s="232">
        <v>4.2592021454999998</v>
      </c>
      <c r="LV94" s="232">
        <v>5.3852663707000001</v>
      </c>
      <c r="LW94" s="232">
        <v>3.2060464513000002</v>
      </c>
      <c r="LX94" s="7">
        <v>5037</v>
      </c>
      <c r="LY94" s="7">
        <v>28764</v>
      </c>
    </row>
    <row r="95" spans="1:337" x14ac:dyDescent="0.25">
      <c r="A95" t="s">
        <v>254</v>
      </c>
      <c r="B95" t="s">
        <v>255</v>
      </c>
      <c r="C95" s="7">
        <v>5673</v>
      </c>
      <c r="D95">
        <v>6734</v>
      </c>
      <c r="F95">
        <f t="shared" si="4"/>
        <v>-6734</v>
      </c>
      <c r="G95">
        <f t="shared" si="5"/>
        <v>-100</v>
      </c>
      <c r="H95">
        <v>3404</v>
      </c>
      <c r="I95">
        <v>3330</v>
      </c>
      <c r="J95">
        <v>4716</v>
      </c>
      <c r="K95">
        <v>2018</v>
      </c>
      <c r="L95" s="7">
        <v>461</v>
      </c>
      <c r="M95" s="7">
        <v>381</v>
      </c>
      <c r="N95" s="7">
        <v>425</v>
      </c>
      <c r="O95" s="7">
        <v>424</v>
      </c>
      <c r="P95" s="7">
        <v>280</v>
      </c>
      <c r="Q95" s="7">
        <v>259</v>
      </c>
      <c r="R95" s="7">
        <v>208</v>
      </c>
      <c r="S95" s="7">
        <v>204</v>
      </c>
      <c r="T95" s="7">
        <v>160</v>
      </c>
      <c r="U95" s="7">
        <v>129</v>
      </c>
      <c r="V95" s="7">
        <v>112</v>
      </c>
      <c r="W95" s="7">
        <v>93</v>
      </c>
      <c r="X95" s="7">
        <v>82</v>
      </c>
      <c r="Y95" s="7">
        <v>186</v>
      </c>
      <c r="Z95" s="7">
        <v>0</v>
      </c>
      <c r="AA95" s="7">
        <v>434</v>
      </c>
      <c r="AB95" s="7">
        <v>412</v>
      </c>
      <c r="AC95" s="7">
        <v>402</v>
      </c>
      <c r="AD95" s="7">
        <v>392</v>
      </c>
      <c r="AE95" s="7">
        <v>314</v>
      </c>
      <c r="AF95" s="7">
        <v>235</v>
      </c>
      <c r="AG95" s="7">
        <v>242</v>
      </c>
      <c r="AH95" s="7">
        <v>200</v>
      </c>
      <c r="AI95" s="7">
        <v>175</v>
      </c>
      <c r="AJ95" s="7">
        <v>127</v>
      </c>
      <c r="AK95" s="7">
        <v>103</v>
      </c>
      <c r="AL95" s="7">
        <v>74</v>
      </c>
      <c r="AM95" s="7">
        <v>65</v>
      </c>
      <c r="AN95" s="7">
        <v>155</v>
      </c>
      <c r="AO95" s="7">
        <v>0</v>
      </c>
      <c r="AP95">
        <v>6707</v>
      </c>
      <c r="AQ95">
        <v>19</v>
      </c>
      <c r="AR95">
        <v>3</v>
      </c>
      <c r="AS95">
        <v>1</v>
      </c>
      <c r="AT95">
        <v>4</v>
      </c>
      <c r="AU95" s="7">
        <v>886</v>
      </c>
      <c r="AV95" s="7">
        <v>451</v>
      </c>
      <c r="AW95" s="7">
        <v>435</v>
      </c>
      <c r="AX95" s="7">
        <v>608</v>
      </c>
      <c r="AY95" s="7">
        <v>886</v>
      </c>
      <c r="AZ95" s="7">
        <v>857</v>
      </c>
      <c r="BA95" s="7">
        <v>29</v>
      </c>
      <c r="BB95" s="7">
        <v>27</v>
      </c>
      <c r="BC95" s="7">
        <v>28</v>
      </c>
      <c r="BD95" s="7">
        <v>60</v>
      </c>
      <c r="BE95" s="7">
        <v>60</v>
      </c>
      <c r="BF95" s="7">
        <v>59</v>
      </c>
      <c r="BG95" s="7">
        <v>49</v>
      </c>
      <c r="BH95" s="7">
        <v>62</v>
      </c>
      <c r="BI95" s="7">
        <v>52</v>
      </c>
      <c r="BJ95" s="7">
        <v>34</v>
      </c>
      <c r="BK95" s="7">
        <v>48</v>
      </c>
      <c r="BL95" s="7">
        <v>52</v>
      </c>
      <c r="BM95" s="7">
        <v>41</v>
      </c>
      <c r="BN95" s="7">
        <v>24</v>
      </c>
      <c r="BO95" s="7">
        <v>31</v>
      </c>
      <c r="BP95" s="7">
        <v>30</v>
      </c>
      <c r="BQ95" s="7">
        <v>27</v>
      </c>
      <c r="BR95" s="7">
        <v>19</v>
      </c>
      <c r="BS95" s="7">
        <v>17</v>
      </c>
      <c r="BT95" s="7">
        <v>18</v>
      </c>
      <c r="BU95" s="7">
        <v>16</v>
      </c>
      <c r="BV95" s="7">
        <v>17</v>
      </c>
      <c r="BW95" s="7">
        <v>10</v>
      </c>
      <c r="BX95" s="7">
        <v>12</v>
      </c>
      <c r="BY95" s="7">
        <v>12</v>
      </c>
      <c r="BZ95" s="7">
        <v>8</v>
      </c>
      <c r="CA95" s="7">
        <v>7</v>
      </c>
      <c r="CB95" s="7">
        <v>29</v>
      </c>
      <c r="CC95" s="7">
        <v>37</v>
      </c>
      <c r="CD95" s="7">
        <v>445</v>
      </c>
      <c r="CE95" s="7">
        <v>429</v>
      </c>
      <c r="CF95" s="7">
        <v>1</v>
      </c>
      <c r="CG95" s="7">
        <v>2</v>
      </c>
      <c r="CH95" s="7">
        <v>1304</v>
      </c>
      <c r="CI95" s="7">
        <v>202</v>
      </c>
      <c r="CJ95" s="7">
        <v>6030</v>
      </c>
      <c r="CK95" s="7">
        <v>704</v>
      </c>
      <c r="CL95" s="7">
        <v>98</v>
      </c>
      <c r="CM95" s="7">
        <v>171</v>
      </c>
      <c r="CN95" s="7">
        <v>247</v>
      </c>
      <c r="CO95" s="7">
        <v>332</v>
      </c>
      <c r="CP95" s="7">
        <v>245</v>
      </c>
      <c r="CQ95" s="7">
        <v>413</v>
      </c>
      <c r="CR95" s="7">
        <v>1225</v>
      </c>
      <c r="CS95" s="7">
        <v>3216</v>
      </c>
      <c r="CT95" s="7">
        <v>408</v>
      </c>
      <c r="CU95" s="7">
        <v>160</v>
      </c>
      <c r="CV95" s="7">
        <v>32</v>
      </c>
      <c r="CW95" s="7">
        <v>164</v>
      </c>
      <c r="CX95" s="7">
        <v>15</v>
      </c>
      <c r="CY95" s="7">
        <v>4367</v>
      </c>
      <c r="CZ95" s="7">
        <v>2141</v>
      </c>
      <c r="DA95" s="7">
        <v>61</v>
      </c>
      <c r="DB95" s="7">
        <v>98</v>
      </c>
      <c r="DC95" s="7">
        <v>10</v>
      </c>
      <c r="DD95" s="7">
        <v>13</v>
      </c>
      <c r="DE95" s="7">
        <v>0</v>
      </c>
      <c r="DF95" s="7">
        <v>2005</v>
      </c>
      <c r="DG95" s="7">
        <v>4716</v>
      </c>
      <c r="DH95" s="7">
        <v>0</v>
      </c>
      <c r="DI95" s="7">
        <v>0</v>
      </c>
      <c r="DJ95" s="7">
        <v>0</v>
      </c>
      <c r="DK95" s="7">
        <v>0</v>
      </c>
      <c r="DL95" s="7">
        <v>3</v>
      </c>
      <c r="DM95" s="7">
        <v>0</v>
      </c>
      <c r="DN95" s="7">
        <v>3</v>
      </c>
      <c r="DO95" s="7">
        <v>1</v>
      </c>
      <c r="DP95" s="7">
        <v>0</v>
      </c>
      <c r="DQ95" s="7">
        <v>0</v>
      </c>
      <c r="DR95" s="7">
        <v>0</v>
      </c>
      <c r="DS95" s="7">
        <v>0</v>
      </c>
      <c r="DT95" s="7">
        <v>74</v>
      </c>
      <c r="DU95" s="7">
        <v>51</v>
      </c>
      <c r="DV95" s="7">
        <v>50</v>
      </c>
      <c r="DW95" s="7">
        <v>52</v>
      </c>
      <c r="DX95" s="7">
        <v>21</v>
      </c>
      <c r="DY95" s="7">
        <v>10</v>
      </c>
      <c r="DZ95" s="7">
        <v>17</v>
      </c>
      <c r="EA95" s="7">
        <v>4</v>
      </c>
      <c r="EB95" s="7">
        <v>4</v>
      </c>
      <c r="EC95" s="7">
        <v>3</v>
      </c>
      <c r="ED95" s="7">
        <v>7</v>
      </c>
      <c r="EE95" s="7">
        <v>1</v>
      </c>
      <c r="EF95" s="7">
        <v>30</v>
      </c>
      <c r="EG95" s="7">
        <v>19</v>
      </c>
      <c r="EH95" s="7">
        <v>96</v>
      </c>
      <c r="EI95" s="7">
        <v>80</v>
      </c>
      <c r="EJ95" s="7">
        <v>20</v>
      </c>
      <c r="EK95" s="7">
        <v>16</v>
      </c>
      <c r="EL95" s="7">
        <v>5</v>
      </c>
      <c r="EM95" s="7">
        <v>7</v>
      </c>
      <c r="EN95" s="7">
        <v>34</v>
      </c>
      <c r="EO95" s="7">
        <v>1891</v>
      </c>
      <c r="EP95" s="7">
        <v>1846</v>
      </c>
      <c r="EQ95" s="7">
        <v>45</v>
      </c>
      <c r="ER95" s="7">
        <v>491</v>
      </c>
      <c r="ES95" s="7">
        <v>241</v>
      </c>
      <c r="ET95" s="7">
        <v>239</v>
      </c>
      <c r="EU95" s="7">
        <v>2</v>
      </c>
      <c r="EV95" s="7">
        <v>2079</v>
      </c>
      <c r="EW95" s="134">
        <v>79.559471365999997</v>
      </c>
      <c r="EX95" s="134">
        <v>7.577092511</v>
      </c>
      <c r="EY95" s="134">
        <v>5.7268722467000002</v>
      </c>
      <c r="EZ95" s="134">
        <v>7.1365638767000004</v>
      </c>
      <c r="FA95" s="134">
        <v>0</v>
      </c>
      <c r="FB95" s="7">
        <v>526</v>
      </c>
      <c r="FC95" s="7">
        <v>1029</v>
      </c>
      <c r="FD95" s="7">
        <v>75</v>
      </c>
      <c r="FE95" s="7">
        <v>362</v>
      </c>
      <c r="FF95" s="7">
        <v>0</v>
      </c>
      <c r="FG95" s="7">
        <v>105</v>
      </c>
      <c r="FH95" s="7">
        <v>32</v>
      </c>
      <c r="FI95" s="134">
        <v>73.392070485000005</v>
      </c>
      <c r="FJ95" s="134">
        <v>14.0969163</v>
      </c>
      <c r="FK95" s="134">
        <v>7.8414096916</v>
      </c>
      <c r="FL95" s="134">
        <v>4.6696035242000002</v>
      </c>
      <c r="FM95" s="151">
        <v>2581</v>
      </c>
      <c r="FN95" s="151">
        <v>818</v>
      </c>
      <c r="FO95" s="7">
        <v>105</v>
      </c>
      <c r="FP95" s="7">
        <v>10</v>
      </c>
      <c r="FQ95" s="7">
        <v>2</v>
      </c>
      <c r="FR95" s="7">
        <v>2</v>
      </c>
      <c r="FS95" s="7">
        <v>2453</v>
      </c>
      <c r="FT95" s="7">
        <v>4</v>
      </c>
      <c r="FU95" s="7">
        <v>30</v>
      </c>
      <c r="FV95" s="7">
        <v>5</v>
      </c>
      <c r="FW95" s="7">
        <v>2594</v>
      </c>
      <c r="FX95" s="7">
        <v>731</v>
      </c>
      <c r="FY95" s="7">
        <v>69</v>
      </c>
      <c r="FZ95" s="7">
        <v>6</v>
      </c>
      <c r="GA95" s="7">
        <v>1</v>
      </c>
      <c r="GB95" s="7">
        <v>1</v>
      </c>
      <c r="GC95" s="7">
        <v>2508</v>
      </c>
      <c r="GD95" s="7">
        <v>4</v>
      </c>
      <c r="GE95" s="7">
        <v>26</v>
      </c>
      <c r="GF95" s="7">
        <v>5</v>
      </c>
      <c r="GG95" s="7">
        <v>353</v>
      </c>
      <c r="GH95" s="7">
        <v>312</v>
      </c>
      <c r="GI95" s="7">
        <v>362</v>
      </c>
      <c r="GJ95" s="7">
        <v>314</v>
      </c>
      <c r="GK95" s="7">
        <v>135</v>
      </c>
      <c r="GL95" s="7">
        <v>184</v>
      </c>
      <c r="GM95" s="7">
        <v>158</v>
      </c>
      <c r="GN95" s="7">
        <v>163</v>
      </c>
      <c r="GO95" s="7">
        <v>132</v>
      </c>
      <c r="GP95" s="7">
        <v>106</v>
      </c>
      <c r="GQ95" s="7">
        <v>87</v>
      </c>
      <c r="GR95" s="7">
        <v>69</v>
      </c>
      <c r="GS95" s="7">
        <v>62</v>
      </c>
      <c r="GT95" s="7">
        <v>46</v>
      </c>
      <c r="GU95" s="7">
        <v>46</v>
      </c>
      <c r="GV95" s="7">
        <v>23</v>
      </c>
      <c r="GW95" s="7">
        <v>15</v>
      </c>
      <c r="GX95" s="7">
        <v>14</v>
      </c>
      <c r="GY95" s="7">
        <v>305</v>
      </c>
      <c r="GZ95" s="7">
        <v>319</v>
      </c>
      <c r="HA95" s="7">
        <v>338</v>
      </c>
      <c r="HB95" s="7">
        <v>284</v>
      </c>
      <c r="HC95" s="7">
        <v>213</v>
      </c>
      <c r="HD95" s="7">
        <v>177</v>
      </c>
      <c r="HE95" s="7">
        <v>201</v>
      </c>
      <c r="HF95" s="7">
        <v>169</v>
      </c>
      <c r="HG95" s="7">
        <v>153</v>
      </c>
      <c r="HH95" s="7">
        <v>106</v>
      </c>
      <c r="HI95" s="7">
        <v>87</v>
      </c>
      <c r="HJ95" s="7">
        <v>64</v>
      </c>
      <c r="HK95" s="7">
        <v>52</v>
      </c>
      <c r="HL95" s="7">
        <v>46</v>
      </c>
      <c r="HM95" s="7">
        <v>41</v>
      </c>
      <c r="HN95" s="7">
        <v>20</v>
      </c>
      <c r="HO95" s="7">
        <v>12</v>
      </c>
      <c r="HP95" s="7">
        <v>7</v>
      </c>
      <c r="HQ95" s="7">
        <v>1503</v>
      </c>
      <c r="HR95" s="7">
        <v>0</v>
      </c>
      <c r="HS95" s="7">
        <v>0</v>
      </c>
      <c r="HT95" s="7">
        <v>0</v>
      </c>
      <c r="HU95" s="7">
        <v>0</v>
      </c>
      <c r="HV95" s="7">
        <v>0</v>
      </c>
      <c r="HW95" s="7">
        <v>0</v>
      </c>
      <c r="HX95" s="7">
        <v>3</v>
      </c>
      <c r="HY95" s="7">
        <v>98</v>
      </c>
      <c r="HZ95" s="7">
        <v>171</v>
      </c>
      <c r="IA95" s="7">
        <v>247</v>
      </c>
      <c r="IB95" s="7">
        <v>332</v>
      </c>
      <c r="IC95" s="7">
        <v>245</v>
      </c>
      <c r="ID95" s="7">
        <v>174</v>
      </c>
      <c r="IE95" s="7">
        <v>100</v>
      </c>
      <c r="IF95" s="7">
        <v>70</v>
      </c>
      <c r="IG95" s="7">
        <v>69</v>
      </c>
      <c r="IH95" s="7">
        <v>289</v>
      </c>
      <c r="II95" s="7">
        <v>776</v>
      </c>
      <c r="IJ95" s="7">
        <v>314</v>
      </c>
      <c r="IK95" s="7">
        <v>93</v>
      </c>
      <c r="IL95" s="7">
        <v>16</v>
      </c>
      <c r="IM95" s="7">
        <v>5</v>
      </c>
      <c r="IN95" s="7">
        <v>0</v>
      </c>
      <c r="IO95" s="7">
        <v>0</v>
      </c>
      <c r="IP95" s="7">
        <v>0</v>
      </c>
      <c r="IQ95" s="7">
        <v>1094</v>
      </c>
      <c r="IR95" s="7">
        <v>310</v>
      </c>
      <c r="IS95" s="7">
        <v>71</v>
      </c>
      <c r="IT95" s="7">
        <v>15</v>
      </c>
      <c r="IU95" s="7">
        <v>4</v>
      </c>
      <c r="IV95" s="7">
        <v>627</v>
      </c>
      <c r="IW95" s="7">
        <v>828</v>
      </c>
      <c r="IX95" s="7">
        <v>0</v>
      </c>
      <c r="IY95" s="7">
        <v>36</v>
      </c>
      <c r="IZ95" s="7">
        <v>1</v>
      </c>
      <c r="JA95" s="7">
        <v>10</v>
      </c>
      <c r="JB95" s="7">
        <v>1157</v>
      </c>
      <c r="JC95" s="7">
        <v>253</v>
      </c>
      <c r="JD95" s="7">
        <v>5</v>
      </c>
      <c r="JE95" s="7">
        <v>0</v>
      </c>
      <c r="JF95" s="151">
        <v>1405.8085881799364</v>
      </c>
      <c r="JG95" s="151">
        <v>95.718433939072995</v>
      </c>
      <c r="JH95" s="7">
        <v>237</v>
      </c>
      <c r="JI95" s="7">
        <v>1224</v>
      </c>
      <c r="JJ95" s="7">
        <v>39</v>
      </c>
      <c r="JK95" s="7">
        <v>6</v>
      </c>
      <c r="JL95" s="7">
        <v>569</v>
      </c>
      <c r="JM95" s="7">
        <v>222</v>
      </c>
      <c r="JN95" s="7">
        <v>58</v>
      </c>
      <c r="JO95" s="7">
        <v>900</v>
      </c>
      <c r="JP95" s="7">
        <v>1105</v>
      </c>
      <c r="JQ95" s="7">
        <v>22</v>
      </c>
      <c r="JR95" s="7">
        <v>115</v>
      </c>
      <c r="JS95" s="7">
        <v>226</v>
      </c>
      <c r="JT95" s="7">
        <v>4</v>
      </c>
      <c r="JU95" s="151">
        <v>276.42052417919211</v>
      </c>
      <c r="JV95" s="151">
        <v>1124.0206751817309</v>
      </c>
      <c r="JW95" s="151">
        <v>4.2491828150523059</v>
      </c>
      <c r="JX95" s="151">
        <v>1.118206003961133</v>
      </c>
      <c r="JY95" s="7">
        <v>1432</v>
      </c>
      <c r="JZ95" s="7">
        <v>6714</v>
      </c>
      <c r="KA95" s="7">
        <v>0</v>
      </c>
      <c r="KB95" s="7">
        <v>0</v>
      </c>
      <c r="KC95" s="7">
        <v>0</v>
      </c>
      <c r="KD95" s="7">
        <v>0</v>
      </c>
      <c r="KE95" s="7">
        <v>0</v>
      </c>
      <c r="KF95" s="7">
        <v>0</v>
      </c>
      <c r="KG95" s="7">
        <v>20</v>
      </c>
      <c r="KH95" s="7">
        <v>950</v>
      </c>
      <c r="KI95" s="7">
        <v>5606</v>
      </c>
      <c r="KJ95" s="7">
        <v>148</v>
      </c>
      <c r="KK95" s="7">
        <v>30</v>
      </c>
      <c r="KL95" s="7">
        <v>1236</v>
      </c>
      <c r="KM95" s="7">
        <v>5026</v>
      </c>
      <c r="KN95" s="7">
        <v>19</v>
      </c>
      <c r="KO95" s="7">
        <v>5</v>
      </c>
      <c r="KP95" s="7">
        <v>6286</v>
      </c>
      <c r="KQ95" s="7">
        <v>428</v>
      </c>
      <c r="KR95" s="7">
        <v>983</v>
      </c>
      <c r="KS95" s="7">
        <v>983</v>
      </c>
      <c r="KT95" s="7">
        <v>216</v>
      </c>
      <c r="KU95" s="7">
        <v>74</v>
      </c>
      <c r="KV95" s="7">
        <v>146</v>
      </c>
      <c r="KW95" s="7">
        <v>0</v>
      </c>
      <c r="KX95" s="7">
        <v>229</v>
      </c>
      <c r="KY95" s="7">
        <v>63</v>
      </c>
      <c r="KZ95" s="7">
        <v>175</v>
      </c>
      <c r="LA95" s="7">
        <v>0</v>
      </c>
      <c r="LB95" s="7">
        <v>512</v>
      </c>
      <c r="LC95" s="7">
        <v>538</v>
      </c>
      <c r="LD95" s="7">
        <v>570</v>
      </c>
      <c r="LE95" s="7">
        <v>727</v>
      </c>
      <c r="LF95" s="7">
        <v>4219</v>
      </c>
      <c r="LG95" s="7">
        <v>20</v>
      </c>
      <c r="LH95" s="7">
        <v>956</v>
      </c>
      <c r="LI95" s="7">
        <v>129</v>
      </c>
      <c r="LJ95" s="7">
        <v>346</v>
      </c>
      <c r="LK95" s="7">
        <v>0</v>
      </c>
      <c r="LL95" s="7">
        <v>136</v>
      </c>
      <c r="LM95" s="7">
        <v>30</v>
      </c>
      <c r="LN95" s="7">
        <v>12</v>
      </c>
      <c r="LO95" s="7">
        <v>920</v>
      </c>
      <c r="LP95" s="7">
        <v>126</v>
      </c>
      <c r="LQ95" s="7">
        <v>297</v>
      </c>
      <c r="LR95" s="7">
        <v>0</v>
      </c>
      <c r="LS95" s="7">
        <v>109</v>
      </c>
      <c r="LT95" s="7">
        <v>15</v>
      </c>
      <c r="LU95" s="232">
        <v>4.4995247147999997</v>
      </c>
      <c r="LV95" s="232">
        <v>4.7542213884000004</v>
      </c>
      <c r="LW95" s="232">
        <v>4.2379576107999997</v>
      </c>
      <c r="LX95" s="7">
        <v>1506</v>
      </c>
      <c r="LY95" s="7">
        <v>6734</v>
      </c>
    </row>
    <row r="96" spans="1:337" x14ac:dyDescent="0.25">
      <c r="A96" t="s">
        <v>272</v>
      </c>
      <c r="B96" t="s">
        <v>273</v>
      </c>
      <c r="C96" s="7">
        <v>2174</v>
      </c>
      <c r="D96">
        <v>3245</v>
      </c>
      <c r="F96">
        <f t="shared" si="4"/>
        <v>-3245</v>
      </c>
      <c r="G96">
        <f t="shared" si="5"/>
        <v>-100</v>
      </c>
      <c r="H96">
        <v>1607</v>
      </c>
      <c r="I96">
        <v>1638</v>
      </c>
      <c r="J96">
        <v>0</v>
      </c>
      <c r="K96">
        <v>3245</v>
      </c>
      <c r="L96" s="7">
        <v>235</v>
      </c>
      <c r="M96" s="7">
        <v>239</v>
      </c>
      <c r="N96" s="7">
        <v>233</v>
      </c>
      <c r="O96" s="7">
        <v>168</v>
      </c>
      <c r="P96" s="7">
        <v>167</v>
      </c>
      <c r="Q96" s="7">
        <v>104</v>
      </c>
      <c r="R96" s="7">
        <v>89</v>
      </c>
      <c r="S96" s="7">
        <v>77</v>
      </c>
      <c r="T96" s="7">
        <v>56</v>
      </c>
      <c r="U96" s="7">
        <v>38</v>
      </c>
      <c r="V96" s="7">
        <v>26</v>
      </c>
      <c r="W96" s="7">
        <v>28</v>
      </c>
      <c r="X96" s="7">
        <v>30</v>
      </c>
      <c r="Y96" s="7">
        <v>49</v>
      </c>
      <c r="Z96" s="7">
        <v>68</v>
      </c>
      <c r="AA96" s="7">
        <v>232</v>
      </c>
      <c r="AB96" s="7">
        <v>228</v>
      </c>
      <c r="AC96" s="7">
        <v>226</v>
      </c>
      <c r="AD96" s="7">
        <v>217</v>
      </c>
      <c r="AE96" s="7">
        <v>166</v>
      </c>
      <c r="AF96" s="7">
        <v>122</v>
      </c>
      <c r="AG96" s="7">
        <v>97</v>
      </c>
      <c r="AH96" s="7">
        <v>74</v>
      </c>
      <c r="AI96" s="7">
        <v>46</v>
      </c>
      <c r="AJ96" s="7">
        <v>47</v>
      </c>
      <c r="AK96" s="7">
        <v>20</v>
      </c>
      <c r="AL96" s="7">
        <v>27</v>
      </c>
      <c r="AM96" s="7">
        <v>23</v>
      </c>
      <c r="AN96" s="7">
        <v>45</v>
      </c>
      <c r="AO96" s="7">
        <v>68</v>
      </c>
      <c r="AP96">
        <v>3070</v>
      </c>
      <c r="AQ96" t="s">
        <v>358</v>
      </c>
      <c r="AR96" t="s">
        <v>358</v>
      </c>
      <c r="AS96" t="s">
        <v>358</v>
      </c>
      <c r="AT96">
        <v>175</v>
      </c>
      <c r="AU96" s="7">
        <v>2815</v>
      </c>
      <c r="AV96" s="7">
        <v>1393</v>
      </c>
      <c r="AW96" s="7">
        <v>1422</v>
      </c>
      <c r="AX96" s="7">
        <v>1382</v>
      </c>
      <c r="AY96" s="7">
        <v>2815</v>
      </c>
      <c r="AZ96" s="7">
        <v>2815</v>
      </c>
      <c r="BA96" s="7">
        <v>0</v>
      </c>
      <c r="BB96" s="7">
        <v>103</v>
      </c>
      <c r="BC96" s="7">
        <v>103</v>
      </c>
      <c r="BD96" s="7">
        <v>233</v>
      </c>
      <c r="BE96" s="7">
        <v>223</v>
      </c>
      <c r="BF96" s="7">
        <v>228</v>
      </c>
      <c r="BG96" s="7">
        <v>220</v>
      </c>
      <c r="BH96" s="7">
        <v>168</v>
      </c>
      <c r="BI96" s="7">
        <v>214</v>
      </c>
      <c r="BJ96" s="7">
        <v>166</v>
      </c>
      <c r="BK96" s="7">
        <v>164</v>
      </c>
      <c r="BL96" s="7">
        <v>103</v>
      </c>
      <c r="BM96" s="7">
        <v>122</v>
      </c>
      <c r="BN96" s="7">
        <v>89</v>
      </c>
      <c r="BO96" s="7">
        <v>97</v>
      </c>
      <c r="BP96" s="7">
        <v>77</v>
      </c>
      <c r="BQ96" s="7">
        <v>73</v>
      </c>
      <c r="BR96" s="7">
        <v>56</v>
      </c>
      <c r="BS96" s="7">
        <v>46</v>
      </c>
      <c r="BT96" s="7">
        <v>38</v>
      </c>
      <c r="BU96" s="7">
        <v>47</v>
      </c>
      <c r="BV96" s="7">
        <v>26</v>
      </c>
      <c r="BW96" s="7">
        <v>20</v>
      </c>
      <c r="BX96" s="7">
        <v>28</v>
      </c>
      <c r="BY96" s="7">
        <v>27</v>
      </c>
      <c r="BZ96" s="7">
        <v>29</v>
      </c>
      <c r="CA96" s="7">
        <v>21</v>
      </c>
      <c r="CB96" s="7">
        <v>49</v>
      </c>
      <c r="CC96" s="7">
        <v>45</v>
      </c>
      <c r="CD96" s="7">
        <v>850</v>
      </c>
      <c r="CE96" s="7">
        <v>582</v>
      </c>
      <c r="CF96" s="7">
        <v>499</v>
      </c>
      <c r="CG96" s="7">
        <v>785</v>
      </c>
      <c r="CH96" s="7">
        <v>569</v>
      </c>
      <c r="CI96" s="7">
        <v>72</v>
      </c>
      <c r="CJ96" s="7">
        <v>2879</v>
      </c>
      <c r="CK96" s="7">
        <v>231</v>
      </c>
      <c r="CL96" s="7">
        <v>37</v>
      </c>
      <c r="CM96" s="7">
        <v>93</v>
      </c>
      <c r="CN96" s="7">
        <v>98</v>
      </c>
      <c r="CO96" s="7">
        <v>104</v>
      </c>
      <c r="CP96" s="7">
        <v>71</v>
      </c>
      <c r="CQ96" s="7">
        <v>238</v>
      </c>
      <c r="CR96" s="7">
        <v>516</v>
      </c>
      <c r="CS96" s="7">
        <v>1720</v>
      </c>
      <c r="CT96" s="7">
        <v>25</v>
      </c>
      <c r="CU96" s="7">
        <v>22</v>
      </c>
      <c r="CV96" s="7">
        <v>16</v>
      </c>
      <c r="CW96" s="7">
        <v>42</v>
      </c>
      <c r="CX96" s="7">
        <v>0</v>
      </c>
      <c r="CY96" s="7">
        <v>2287</v>
      </c>
      <c r="CZ96" s="7">
        <v>447</v>
      </c>
      <c r="DA96" s="7">
        <v>0</v>
      </c>
      <c r="DB96" s="7">
        <v>37</v>
      </c>
      <c r="DC96" s="7">
        <v>0</v>
      </c>
      <c r="DD96" s="7">
        <v>1304</v>
      </c>
      <c r="DE96" s="7">
        <v>869</v>
      </c>
      <c r="DF96" s="7">
        <v>1072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10</v>
      </c>
      <c r="DM96" s="7">
        <v>2</v>
      </c>
      <c r="DN96" s="7">
        <v>1</v>
      </c>
      <c r="DO96" s="7">
        <v>0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2</v>
      </c>
      <c r="DV96" s="7">
        <v>1</v>
      </c>
      <c r="DW96" s="7">
        <v>0</v>
      </c>
      <c r="DX96" s="7">
        <v>0</v>
      </c>
      <c r="DY96" s="7">
        <v>0</v>
      </c>
      <c r="DZ96" s="7">
        <v>1</v>
      </c>
      <c r="EA96" s="7">
        <v>2</v>
      </c>
      <c r="EB96" s="7">
        <v>0</v>
      </c>
      <c r="EC96" s="7">
        <v>0</v>
      </c>
      <c r="ED96" s="7">
        <v>0</v>
      </c>
      <c r="EE96" s="7">
        <v>0</v>
      </c>
      <c r="EF96" s="7">
        <v>2</v>
      </c>
      <c r="EG96" s="7">
        <v>2</v>
      </c>
      <c r="EH96" s="7">
        <v>2</v>
      </c>
      <c r="EI96" s="7">
        <v>0</v>
      </c>
      <c r="EJ96" s="7">
        <v>0</v>
      </c>
      <c r="EK96" s="7">
        <v>3</v>
      </c>
      <c r="EL96" s="7">
        <v>0</v>
      </c>
      <c r="EM96" s="7">
        <v>0</v>
      </c>
      <c r="EN96" s="7">
        <v>2</v>
      </c>
      <c r="EO96" s="7">
        <v>644</v>
      </c>
      <c r="EP96" s="7">
        <v>641</v>
      </c>
      <c r="EQ96" s="7">
        <v>3</v>
      </c>
      <c r="ER96" s="7">
        <v>317</v>
      </c>
      <c r="ES96" s="7">
        <v>35</v>
      </c>
      <c r="ET96" s="7">
        <v>34</v>
      </c>
      <c r="EU96" s="7">
        <v>1</v>
      </c>
      <c r="EV96" s="7">
        <v>981</v>
      </c>
      <c r="EW96" s="134">
        <v>93.629629629999997</v>
      </c>
      <c r="EX96" s="134">
        <v>3.1111111111</v>
      </c>
      <c r="EY96" s="134">
        <v>0.44444444440000003</v>
      </c>
      <c r="EZ96" s="134">
        <v>2.3703703703999999</v>
      </c>
      <c r="FA96" s="134">
        <v>0.44444444440000003</v>
      </c>
      <c r="FB96" s="7">
        <v>194</v>
      </c>
      <c r="FC96" s="7">
        <v>320</v>
      </c>
      <c r="FD96" s="7">
        <v>16</v>
      </c>
      <c r="FE96" s="7">
        <v>121</v>
      </c>
      <c r="FF96" s="7">
        <v>0</v>
      </c>
      <c r="FG96" s="7">
        <v>25</v>
      </c>
      <c r="FH96" s="7">
        <v>1</v>
      </c>
      <c r="FI96" s="134">
        <v>78.370370370000003</v>
      </c>
      <c r="FJ96" s="134">
        <v>12.888888889</v>
      </c>
      <c r="FK96" s="134">
        <v>4</v>
      </c>
      <c r="FL96" s="134">
        <v>4.7407407406999997</v>
      </c>
      <c r="FM96" s="151">
        <v>1136</v>
      </c>
      <c r="FN96" s="151">
        <v>155</v>
      </c>
      <c r="FO96" s="7">
        <v>40</v>
      </c>
      <c r="FP96" s="7">
        <v>0</v>
      </c>
      <c r="FQ96" s="7">
        <v>0</v>
      </c>
      <c r="FR96" s="7">
        <v>0</v>
      </c>
      <c r="FS96" s="7">
        <v>1055</v>
      </c>
      <c r="FT96" s="7">
        <v>1</v>
      </c>
      <c r="FU96" s="7">
        <v>40</v>
      </c>
      <c r="FV96" s="7">
        <v>316</v>
      </c>
      <c r="FW96" s="7">
        <v>1122</v>
      </c>
      <c r="FX96" s="7">
        <v>175</v>
      </c>
      <c r="FY96" s="7">
        <v>52</v>
      </c>
      <c r="FZ96" s="7">
        <v>1</v>
      </c>
      <c r="GA96" s="7">
        <v>1</v>
      </c>
      <c r="GB96" s="7">
        <v>0</v>
      </c>
      <c r="GC96" s="7">
        <v>1035</v>
      </c>
      <c r="GD96" s="7">
        <v>2</v>
      </c>
      <c r="GE96" s="7">
        <v>32</v>
      </c>
      <c r="GF96" s="7">
        <v>341</v>
      </c>
      <c r="GG96" s="7">
        <v>173</v>
      </c>
      <c r="GH96" s="7">
        <v>174</v>
      </c>
      <c r="GI96" s="7">
        <v>176</v>
      </c>
      <c r="GJ96" s="7">
        <v>129</v>
      </c>
      <c r="GK96" s="7">
        <v>130</v>
      </c>
      <c r="GL96" s="7">
        <v>70</v>
      </c>
      <c r="GM96" s="7">
        <v>60</v>
      </c>
      <c r="GN96" s="7">
        <v>59</v>
      </c>
      <c r="GO96" s="7">
        <v>40</v>
      </c>
      <c r="GP96" s="7">
        <v>32</v>
      </c>
      <c r="GQ96" s="7">
        <v>15</v>
      </c>
      <c r="GR96" s="7">
        <v>25</v>
      </c>
      <c r="GS96" s="7">
        <v>17</v>
      </c>
      <c r="GT96" s="7">
        <v>11</v>
      </c>
      <c r="GU96" s="7">
        <v>16</v>
      </c>
      <c r="GV96" s="7">
        <v>2</v>
      </c>
      <c r="GW96" s="7">
        <v>2</v>
      </c>
      <c r="GX96" s="7">
        <v>4</v>
      </c>
      <c r="GY96" s="7">
        <v>158</v>
      </c>
      <c r="GZ96" s="7">
        <v>156</v>
      </c>
      <c r="HA96" s="7">
        <v>167</v>
      </c>
      <c r="HB96" s="7">
        <v>166</v>
      </c>
      <c r="HC96" s="7">
        <v>112</v>
      </c>
      <c r="HD96" s="7">
        <v>87</v>
      </c>
      <c r="HE96" s="7">
        <v>73</v>
      </c>
      <c r="HF96" s="7">
        <v>50</v>
      </c>
      <c r="HG96" s="7">
        <v>36</v>
      </c>
      <c r="HH96" s="7">
        <v>37</v>
      </c>
      <c r="HI96" s="7">
        <v>15</v>
      </c>
      <c r="HJ96" s="7">
        <v>21</v>
      </c>
      <c r="HK96" s="7">
        <v>14</v>
      </c>
      <c r="HL96" s="7">
        <v>13</v>
      </c>
      <c r="HM96" s="7">
        <v>6</v>
      </c>
      <c r="HN96" s="7">
        <v>2</v>
      </c>
      <c r="HO96" s="7">
        <v>5</v>
      </c>
      <c r="HP96" s="7">
        <v>4</v>
      </c>
      <c r="HQ96" s="7">
        <v>625</v>
      </c>
      <c r="HR96" s="7">
        <v>0</v>
      </c>
      <c r="HS96" s="7">
        <v>0</v>
      </c>
      <c r="HT96" s="7">
        <v>0</v>
      </c>
      <c r="HU96" s="7">
        <v>0</v>
      </c>
      <c r="HV96" s="7">
        <v>1</v>
      </c>
      <c r="HW96" s="7">
        <v>0</v>
      </c>
      <c r="HX96" s="7">
        <v>60</v>
      </c>
      <c r="HY96" s="7">
        <v>37</v>
      </c>
      <c r="HZ96" s="7">
        <v>93</v>
      </c>
      <c r="IA96" s="7">
        <v>98</v>
      </c>
      <c r="IB96" s="7">
        <v>104</v>
      </c>
      <c r="IC96" s="7">
        <v>71</v>
      </c>
      <c r="ID96" s="7">
        <v>92</v>
      </c>
      <c r="IE96" s="7">
        <v>39</v>
      </c>
      <c r="IF96" s="7">
        <v>43</v>
      </c>
      <c r="IG96" s="7">
        <v>63</v>
      </c>
      <c r="IH96" s="7">
        <v>69</v>
      </c>
      <c r="II96" s="7">
        <v>278</v>
      </c>
      <c r="IJ96" s="7">
        <v>192</v>
      </c>
      <c r="IK96" s="7">
        <v>49</v>
      </c>
      <c r="IL96" s="7">
        <v>21</v>
      </c>
      <c r="IM96" s="7">
        <v>7</v>
      </c>
      <c r="IN96" s="7">
        <v>2</v>
      </c>
      <c r="IO96" s="7">
        <v>0</v>
      </c>
      <c r="IP96" s="7">
        <v>0</v>
      </c>
      <c r="IQ96" s="7">
        <v>338</v>
      </c>
      <c r="IR96" s="7">
        <v>198</v>
      </c>
      <c r="IS96" s="7">
        <v>53</v>
      </c>
      <c r="IT96" s="7">
        <v>20</v>
      </c>
      <c r="IU96" s="7">
        <v>9</v>
      </c>
      <c r="IV96" s="7">
        <v>289</v>
      </c>
      <c r="IW96" s="7">
        <v>229</v>
      </c>
      <c r="IX96" s="7">
        <v>1</v>
      </c>
      <c r="IY96" s="7">
        <v>2</v>
      </c>
      <c r="IZ96" s="7">
        <v>0</v>
      </c>
      <c r="JA96" s="7">
        <v>108</v>
      </c>
      <c r="JB96" s="7">
        <v>18</v>
      </c>
      <c r="JC96" s="7">
        <v>365</v>
      </c>
      <c r="JD96" s="7">
        <v>48</v>
      </c>
      <c r="JE96" s="7">
        <v>2</v>
      </c>
      <c r="JF96" s="151">
        <v>601.22090921419999</v>
      </c>
      <c r="JG96" s="151">
        <v>31.534727154532941</v>
      </c>
      <c r="JH96" s="7">
        <v>82</v>
      </c>
      <c r="JI96" s="7">
        <v>542</v>
      </c>
      <c r="JJ96" s="7">
        <v>8</v>
      </c>
      <c r="JK96" s="7">
        <v>8</v>
      </c>
      <c r="JL96" s="7">
        <v>12</v>
      </c>
      <c r="JM96" s="7">
        <v>1</v>
      </c>
      <c r="JN96" s="7">
        <v>10</v>
      </c>
      <c r="JO96" s="7">
        <v>266</v>
      </c>
      <c r="JP96" s="7">
        <v>175</v>
      </c>
      <c r="JQ96" s="7">
        <v>3</v>
      </c>
      <c r="JR96" s="7">
        <v>4</v>
      </c>
      <c r="JS96" s="7">
        <v>64</v>
      </c>
      <c r="JT96" s="7">
        <v>1</v>
      </c>
      <c r="JU96" s="151">
        <v>27.514868995328456</v>
      </c>
      <c r="JV96" s="151">
        <v>262.37717429882639</v>
      </c>
      <c r="JW96" s="151">
        <v>212.08649831381959</v>
      </c>
      <c r="JX96" s="151">
        <v>124.28392466786512</v>
      </c>
      <c r="JY96" s="7">
        <v>609</v>
      </c>
      <c r="JZ96" s="7">
        <v>3042</v>
      </c>
      <c r="KA96" s="7">
        <v>0</v>
      </c>
      <c r="KB96" s="7">
        <v>0</v>
      </c>
      <c r="KC96" s="7">
        <v>0</v>
      </c>
      <c r="KD96" s="7">
        <v>0</v>
      </c>
      <c r="KE96" s="7">
        <v>6</v>
      </c>
      <c r="KF96" s="7">
        <v>0</v>
      </c>
      <c r="KG96" s="7">
        <v>197</v>
      </c>
      <c r="KH96" s="7">
        <v>361</v>
      </c>
      <c r="KI96" s="7">
        <v>2677</v>
      </c>
      <c r="KJ96" s="7">
        <v>33</v>
      </c>
      <c r="KK96" s="7">
        <v>33</v>
      </c>
      <c r="KL96" s="7">
        <v>12</v>
      </c>
      <c r="KM96" s="7">
        <v>1273</v>
      </c>
      <c r="KN96" s="7">
        <v>1029</v>
      </c>
      <c r="KO96" s="7">
        <v>603</v>
      </c>
      <c r="KP96" s="7">
        <v>2917</v>
      </c>
      <c r="KQ96" s="7">
        <v>153</v>
      </c>
      <c r="KR96" s="7">
        <v>608</v>
      </c>
      <c r="KS96" s="7">
        <v>608</v>
      </c>
      <c r="KT96" s="7">
        <v>98</v>
      </c>
      <c r="KU96" s="7">
        <v>61</v>
      </c>
      <c r="KV96" s="7">
        <v>106</v>
      </c>
      <c r="KW96" s="7">
        <v>0</v>
      </c>
      <c r="KX96" s="7">
        <v>86</v>
      </c>
      <c r="KY96" s="7">
        <v>64</v>
      </c>
      <c r="KZ96" s="7">
        <v>73</v>
      </c>
      <c r="LA96" s="7">
        <v>0</v>
      </c>
      <c r="LB96" s="7">
        <v>266</v>
      </c>
      <c r="LC96" s="7">
        <v>251</v>
      </c>
      <c r="LD96" s="7">
        <v>220</v>
      </c>
      <c r="LE96" s="7">
        <v>443</v>
      </c>
      <c r="LF96" s="7">
        <v>1716</v>
      </c>
      <c r="LG96" s="7">
        <v>3</v>
      </c>
      <c r="LH96" s="7">
        <v>333</v>
      </c>
      <c r="LI96" s="7">
        <v>40</v>
      </c>
      <c r="LJ96" s="7">
        <v>157</v>
      </c>
      <c r="LK96" s="7">
        <v>0</v>
      </c>
      <c r="LL96" s="7">
        <v>80</v>
      </c>
      <c r="LM96" s="7">
        <v>7</v>
      </c>
      <c r="LN96" s="7">
        <v>5</v>
      </c>
      <c r="LO96" s="7">
        <v>282</v>
      </c>
      <c r="LP96" s="7">
        <v>27</v>
      </c>
      <c r="LQ96" s="7">
        <v>80</v>
      </c>
      <c r="LR96" s="7">
        <v>0</v>
      </c>
      <c r="LS96" s="7">
        <v>42</v>
      </c>
      <c r="LT96" s="7">
        <v>1</v>
      </c>
      <c r="LU96" s="232">
        <v>4.2411764706000001</v>
      </c>
      <c r="LV96" s="232">
        <v>5.3827460509999998</v>
      </c>
      <c r="LW96" s="232">
        <v>3.1698973773999999</v>
      </c>
      <c r="LX96" s="7">
        <v>640</v>
      </c>
      <c r="LY96" s="7">
        <v>3104</v>
      </c>
    </row>
    <row r="97" spans="1:337" x14ac:dyDescent="0.25">
      <c r="A97" t="s">
        <v>196</v>
      </c>
      <c r="B97" t="s">
        <v>197</v>
      </c>
      <c r="C97" s="7">
        <v>32457</v>
      </c>
      <c r="D97">
        <v>38143</v>
      </c>
      <c r="F97">
        <f t="shared" si="4"/>
        <v>-38143</v>
      </c>
      <c r="G97">
        <f t="shared" si="5"/>
        <v>-100</v>
      </c>
      <c r="H97">
        <v>19349</v>
      </c>
      <c r="I97">
        <v>18794</v>
      </c>
      <c r="J97">
        <v>3400</v>
      </c>
      <c r="K97">
        <v>34743</v>
      </c>
      <c r="L97" s="7">
        <v>2468</v>
      </c>
      <c r="M97" s="7">
        <v>2687</v>
      </c>
      <c r="N97" s="7">
        <v>2812</v>
      </c>
      <c r="O97" s="7">
        <v>2221</v>
      </c>
      <c r="P97" s="7">
        <v>1576</v>
      </c>
      <c r="Q97" s="7">
        <v>1260</v>
      </c>
      <c r="R97" s="7">
        <v>1244</v>
      </c>
      <c r="S97" s="7">
        <v>1024</v>
      </c>
      <c r="T97" s="7">
        <v>829</v>
      </c>
      <c r="U97" s="7">
        <v>757</v>
      </c>
      <c r="V97" s="7">
        <v>612</v>
      </c>
      <c r="W97" s="7">
        <v>529</v>
      </c>
      <c r="X97" s="7">
        <v>441</v>
      </c>
      <c r="Y97" s="7">
        <v>856</v>
      </c>
      <c r="Z97" s="7">
        <v>33</v>
      </c>
      <c r="AA97" s="7">
        <v>2299</v>
      </c>
      <c r="AB97" s="7">
        <v>2647</v>
      </c>
      <c r="AC97" s="7">
        <v>2600</v>
      </c>
      <c r="AD97" s="7">
        <v>2257</v>
      </c>
      <c r="AE97" s="7">
        <v>1648</v>
      </c>
      <c r="AF97" s="7">
        <v>1352</v>
      </c>
      <c r="AG97" s="7">
        <v>1204</v>
      </c>
      <c r="AH97" s="7">
        <v>1067</v>
      </c>
      <c r="AI97" s="7">
        <v>815</v>
      </c>
      <c r="AJ97" s="7">
        <v>702</v>
      </c>
      <c r="AK97" s="7">
        <v>543</v>
      </c>
      <c r="AL97" s="7">
        <v>429</v>
      </c>
      <c r="AM97" s="7">
        <v>398</v>
      </c>
      <c r="AN97" s="7">
        <v>800</v>
      </c>
      <c r="AO97" s="7">
        <v>33</v>
      </c>
      <c r="AP97">
        <v>37827</v>
      </c>
      <c r="AQ97">
        <v>71</v>
      </c>
      <c r="AR97">
        <v>34</v>
      </c>
      <c r="AS97">
        <v>52</v>
      </c>
      <c r="AT97">
        <v>159</v>
      </c>
      <c r="AU97" s="7">
        <v>97</v>
      </c>
      <c r="AV97" s="7">
        <v>61</v>
      </c>
      <c r="AW97" s="7">
        <v>36</v>
      </c>
      <c r="AX97" s="7">
        <v>144</v>
      </c>
      <c r="AY97" s="7">
        <v>97</v>
      </c>
      <c r="AZ97" s="7">
        <v>95</v>
      </c>
      <c r="BA97" s="7">
        <v>2</v>
      </c>
      <c r="BB97" s="7">
        <v>0</v>
      </c>
      <c r="BC97" s="7">
        <v>2</v>
      </c>
      <c r="BD97" s="7">
        <v>2</v>
      </c>
      <c r="BE97" s="7">
        <v>3</v>
      </c>
      <c r="BF97" s="7">
        <v>3</v>
      </c>
      <c r="BG97" s="7">
        <v>0</v>
      </c>
      <c r="BH97" s="7">
        <v>0</v>
      </c>
      <c r="BI97" s="7">
        <v>3</v>
      </c>
      <c r="BJ97" s="7">
        <v>7</v>
      </c>
      <c r="BK97" s="7">
        <v>2</v>
      </c>
      <c r="BL97" s="7">
        <v>5</v>
      </c>
      <c r="BM97" s="7">
        <v>3</v>
      </c>
      <c r="BN97" s="7">
        <v>2</v>
      </c>
      <c r="BO97" s="7">
        <v>5</v>
      </c>
      <c r="BP97" s="7">
        <v>5</v>
      </c>
      <c r="BQ97" s="7">
        <v>3</v>
      </c>
      <c r="BR97" s="7">
        <v>2</v>
      </c>
      <c r="BS97" s="7">
        <v>1</v>
      </c>
      <c r="BT97" s="7">
        <v>4</v>
      </c>
      <c r="BU97" s="7">
        <v>1</v>
      </c>
      <c r="BV97" s="7">
        <v>1</v>
      </c>
      <c r="BW97" s="7">
        <v>2</v>
      </c>
      <c r="BX97" s="7">
        <v>6</v>
      </c>
      <c r="BY97" s="7">
        <v>2</v>
      </c>
      <c r="BZ97" s="7">
        <v>4</v>
      </c>
      <c r="CA97" s="7">
        <v>4</v>
      </c>
      <c r="CB97" s="7">
        <v>20</v>
      </c>
      <c r="CC97" s="7">
        <v>5</v>
      </c>
      <c r="CD97" s="7">
        <v>35</v>
      </c>
      <c r="CE97" s="7">
        <v>24</v>
      </c>
      <c r="CF97" s="7">
        <v>0</v>
      </c>
      <c r="CG97" s="7">
        <v>0</v>
      </c>
      <c r="CH97" s="7">
        <v>5852</v>
      </c>
      <c r="CI97" s="7">
        <v>883</v>
      </c>
      <c r="CJ97" s="7">
        <v>34060</v>
      </c>
      <c r="CK97" s="7">
        <v>4026</v>
      </c>
      <c r="CL97" s="7">
        <v>177</v>
      </c>
      <c r="CM97" s="7">
        <v>439</v>
      </c>
      <c r="CN97" s="7">
        <v>743</v>
      </c>
      <c r="CO97" s="7">
        <v>1028</v>
      </c>
      <c r="CP97" s="7">
        <v>1123</v>
      </c>
      <c r="CQ97" s="7">
        <v>3225</v>
      </c>
      <c r="CR97" s="7">
        <v>5473</v>
      </c>
      <c r="CS97" s="7">
        <v>19678</v>
      </c>
      <c r="CT97" s="7">
        <v>3419</v>
      </c>
      <c r="CU97" s="7">
        <v>1221</v>
      </c>
      <c r="CV97" s="7">
        <v>388</v>
      </c>
      <c r="CW97" s="7">
        <v>877</v>
      </c>
      <c r="CX97" s="7">
        <v>30</v>
      </c>
      <c r="CY97" s="7">
        <v>20640</v>
      </c>
      <c r="CZ97" s="7">
        <v>15563</v>
      </c>
      <c r="DA97" s="7">
        <v>112</v>
      </c>
      <c r="DB97" s="7">
        <v>177</v>
      </c>
      <c r="DC97" s="7">
        <v>8</v>
      </c>
      <c r="DD97" s="7">
        <v>12421</v>
      </c>
      <c r="DE97" s="7">
        <v>9327</v>
      </c>
      <c r="DF97" s="7">
        <v>12995</v>
      </c>
      <c r="DG97" s="7">
        <v>3400</v>
      </c>
      <c r="DH97" s="7">
        <v>0</v>
      </c>
      <c r="DI97" s="7">
        <v>0</v>
      </c>
      <c r="DJ97" s="7">
        <v>0</v>
      </c>
      <c r="DK97" s="7">
        <v>0</v>
      </c>
      <c r="DL97" s="7">
        <v>134</v>
      </c>
      <c r="DM97" s="7">
        <v>29</v>
      </c>
      <c r="DN97" s="7">
        <v>18</v>
      </c>
      <c r="DO97" s="7">
        <v>1</v>
      </c>
      <c r="DP97" s="7">
        <v>0</v>
      </c>
      <c r="DQ97" s="7">
        <v>0</v>
      </c>
      <c r="DR97" s="7">
        <v>0</v>
      </c>
      <c r="DS97" s="7">
        <v>0</v>
      </c>
      <c r="DT97" s="7">
        <v>123</v>
      </c>
      <c r="DU97" s="7">
        <v>106</v>
      </c>
      <c r="DV97" s="7">
        <v>104</v>
      </c>
      <c r="DW97" s="7">
        <v>74</v>
      </c>
      <c r="DX97" s="7">
        <v>22</v>
      </c>
      <c r="DY97" s="7">
        <v>21</v>
      </c>
      <c r="DZ97" s="7">
        <v>44</v>
      </c>
      <c r="EA97" s="7">
        <v>41</v>
      </c>
      <c r="EB97" s="7">
        <v>11</v>
      </c>
      <c r="EC97" s="7">
        <v>16</v>
      </c>
      <c r="ED97" s="7">
        <v>7</v>
      </c>
      <c r="EE97" s="7">
        <v>6</v>
      </c>
      <c r="EF97" s="7">
        <v>43</v>
      </c>
      <c r="EG97" s="7">
        <v>30</v>
      </c>
      <c r="EH97" s="7">
        <v>171</v>
      </c>
      <c r="EI97" s="7">
        <v>131</v>
      </c>
      <c r="EJ97" s="7">
        <v>27</v>
      </c>
      <c r="EK97" s="7">
        <v>56</v>
      </c>
      <c r="EL97" s="7">
        <v>16</v>
      </c>
      <c r="EM97" s="7">
        <v>7</v>
      </c>
      <c r="EN97" s="7">
        <v>46</v>
      </c>
      <c r="EO97" s="7">
        <v>9949</v>
      </c>
      <c r="EP97" s="7">
        <v>9937</v>
      </c>
      <c r="EQ97" s="7">
        <v>12</v>
      </c>
      <c r="ER97" s="7">
        <v>2924</v>
      </c>
      <c r="ES97" s="7">
        <v>506</v>
      </c>
      <c r="ET97" s="7">
        <v>500</v>
      </c>
      <c r="EU97" s="7">
        <v>6</v>
      </c>
      <c r="EV97" s="7">
        <v>12150</v>
      </c>
      <c r="EW97" s="134">
        <v>85.299315219999997</v>
      </c>
      <c r="EX97" s="134">
        <v>4.2743538767000002</v>
      </c>
      <c r="EY97" s="134">
        <v>2.7170311465000001</v>
      </c>
      <c r="EZ97" s="134">
        <v>7.5878064943999997</v>
      </c>
      <c r="FA97" s="134">
        <v>0.1214932626</v>
      </c>
      <c r="FB97" s="7">
        <v>1302</v>
      </c>
      <c r="FC97" s="7">
        <v>5923</v>
      </c>
      <c r="FD97" s="7">
        <v>316</v>
      </c>
      <c r="FE97" s="7">
        <v>1993</v>
      </c>
      <c r="FF97" s="7">
        <v>1</v>
      </c>
      <c r="FG97" s="7">
        <v>660</v>
      </c>
      <c r="FH97" s="7">
        <v>212</v>
      </c>
      <c r="FI97" s="134">
        <v>82.615418599999998</v>
      </c>
      <c r="FJ97" s="134">
        <v>7.333775127</v>
      </c>
      <c r="FK97" s="134">
        <v>6.196156395</v>
      </c>
      <c r="FL97" s="134">
        <v>3.8546498785000001</v>
      </c>
      <c r="FM97" s="151">
        <v>13525</v>
      </c>
      <c r="FN97" s="151">
        <v>5709</v>
      </c>
      <c r="FO97" s="7">
        <v>1429</v>
      </c>
      <c r="FP97" s="7">
        <v>71</v>
      </c>
      <c r="FQ97" s="7">
        <v>27</v>
      </c>
      <c r="FR97" s="7">
        <v>1</v>
      </c>
      <c r="FS97" s="7">
        <v>11990</v>
      </c>
      <c r="FT97" s="7">
        <v>17</v>
      </c>
      <c r="FU97" s="7">
        <v>8</v>
      </c>
      <c r="FV97" s="7">
        <v>115</v>
      </c>
      <c r="FW97" s="7">
        <v>14238</v>
      </c>
      <c r="FX97" s="7">
        <v>4446</v>
      </c>
      <c r="FY97" s="7">
        <v>1235</v>
      </c>
      <c r="FZ97" s="7">
        <v>69</v>
      </c>
      <c r="GA97" s="7">
        <v>21</v>
      </c>
      <c r="GB97" s="7">
        <v>4</v>
      </c>
      <c r="GC97" s="7">
        <v>12906</v>
      </c>
      <c r="GD97" s="7">
        <v>9</v>
      </c>
      <c r="GE97" s="7">
        <v>7</v>
      </c>
      <c r="GF97" s="7">
        <v>110</v>
      </c>
      <c r="GG97" s="7">
        <v>1509</v>
      </c>
      <c r="GH97" s="7">
        <v>1988</v>
      </c>
      <c r="GI97" s="7">
        <v>2120</v>
      </c>
      <c r="GJ97" s="7">
        <v>1542</v>
      </c>
      <c r="GK97" s="7">
        <v>936</v>
      </c>
      <c r="GL97" s="7">
        <v>818</v>
      </c>
      <c r="GM97" s="7">
        <v>871</v>
      </c>
      <c r="GN97" s="7">
        <v>744</v>
      </c>
      <c r="GO97" s="7">
        <v>627</v>
      </c>
      <c r="GP97" s="7">
        <v>556</v>
      </c>
      <c r="GQ97" s="7">
        <v>441</v>
      </c>
      <c r="GR97" s="7">
        <v>384</v>
      </c>
      <c r="GS97" s="7">
        <v>306</v>
      </c>
      <c r="GT97" s="7">
        <v>215</v>
      </c>
      <c r="GU97" s="7">
        <v>213</v>
      </c>
      <c r="GV97" s="7">
        <v>123</v>
      </c>
      <c r="GW97" s="7">
        <v>60</v>
      </c>
      <c r="GX97" s="7">
        <v>67</v>
      </c>
      <c r="GY97" s="7">
        <v>1417</v>
      </c>
      <c r="GZ97" s="7">
        <v>1969</v>
      </c>
      <c r="HA97" s="7">
        <v>2023</v>
      </c>
      <c r="HB97" s="7">
        <v>1596</v>
      </c>
      <c r="HC97" s="7">
        <v>1125</v>
      </c>
      <c r="HD97" s="7">
        <v>1045</v>
      </c>
      <c r="HE97" s="7">
        <v>987</v>
      </c>
      <c r="HF97" s="7">
        <v>915</v>
      </c>
      <c r="HG97" s="7">
        <v>702</v>
      </c>
      <c r="HH97" s="7">
        <v>600</v>
      </c>
      <c r="HI97" s="7">
        <v>475</v>
      </c>
      <c r="HJ97" s="7">
        <v>366</v>
      </c>
      <c r="HK97" s="7">
        <v>332</v>
      </c>
      <c r="HL97" s="7">
        <v>245</v>
      </c>
      <c r="HM97" s="7">
        <v>207</v>
      </c>
      <c r="HN97" s="7">
        <v>109</v>
      </c>
      <c r="HO97" s="7">
        <v>59</v>
      </c>
      <c r="HP97" s="7">
        <v>62</v>
      </c>
      <c r="HQ97" s="7">
        <v>6703</v>
      </c>
      <c r="HR97" s="7">
        <v>4</v>
      </c>
      <c r="HS97" s="7">
        <v>1</v>
      </c>
      <c r="HT97" s="7">
        <v>3</v>
      </c>
      <c r="HU97" s="7">
        <v>0</v>
      </c>
      <c r="HV97" s="7">
        <v>0</v>
      </c>
      <c r="HW97" s="7">
        <v>0</v>
      </c>
      <c r="HX97" s="7">
        <v>43</v>
      </c>
      <c r="HY97" s="7">
        <v>177</v>
      </c>
      <c r="HZ97" s="7">
        <v>439</v>
      </c>
      <c r="IA97" s="7">
        <v>743</v>
      </c>
      <c r="IB97" s="7">
        <v>1028</v>
      </c>
      <c r="IC97" s="7">
        <v>1123</v>
      </c>
      <c r="ID97" s="7">
        <v>1157</v>
      </c>
      <c r="IE97" s="7">
        <v>648</v>
      </c>
      <c r="IF97" s="7">
        <v>516</v>
      </c>
      <c r="IG97" s="7">
        <v>904</v>
      </c>
      <c r="IH97" s="7">
        <v>218</v>
      </c>
      <c r="II97" s="7">
        <v>2510</v>
      </c>
      <c r="IJ97" s="7">
        <v>2333</v>
      </c>
      <c r="IK97" s="7">
        <v>976</v>
      </c>
      <c r="IL97" s="7">
        <v>418</v>
      </c>
      <c r="IM97" s="7">
        <v>130</v>
      </c>
      <c r="IN97" s="7">
        <v>42</v>
      </c>
      <c r="IO97" s="7">
        <v>14</v>
      </c>
      <c r="IP97" s="7">
        <v>22</v>
      </c>
      <c r="IQ97" s="7">
        <v>3121</v>
      </c>
      <c r="IR97" s="7">
        <v>2510</v>
      </c>
      <c r="IS97" s="7">
        <v>765</v>
      </c>
      <c r="IT97" s="7">
        <v>233</v>
      </c>
      <c r="IU97" s="7">
        <v>55</v>
      </c>
      <c r="IV97" s="7">
        <v>2080</v>
      </c>
      <c r="IW97" s="7">
        <v>2145</v>
      </c>
      <c r="IX97" s="7">
        <v>289</v>
      </c>
      <c r="IY97" s="7">
        <v>55</v>
      </c>
      <c r="IZ97" s="7">
        <v>3</v>
      </c>
      <c r="JA97" s="7">
        <v>2100</v>
      </c>
      <c r="JB97" s="7">
        <v>854</v>
      </c>
      <c r="JC97" s="7">
        <v>4657</v>
      </c>
      <c r="JD97" s="7">
        <v>224</v>
      </c>
      <c r="JE97" s="7">
        <v>13</v>
      </c>
      <c r="JF97" s="151">
        <v>6423.2368990140822</v>
      </c>
      <c r="JG97" s="151">
        <v>267.55382067032753</v>
      </c>
      <c r="JH97" s="7">
        <v>516</v>
      </c>
      <c r="JI97" s="7">
        <v>5989</v>
      </c>
      <c r="JJ97" s="7">
        <v>171</v>
      </c>
      <c r="JK97" s="7">
        <v>59</v>
      </c>
      <c r="JL97" s="7">
        <v>2575</v>
      </c>
      <c r="JM97" s="7">
        <v>1363</v>
      </c>
      <c r="JN97" s="7">
        <v>913</v>
      </c>
      <c r="JO97" s="7">
        <v>4574</v>
      </c>
      <c r="JP97" s="7">
        <v>4262</v>
      </c>
      <c r="JQ97" s="7">
        <v>174</v>
      </c>
      <c r="JR97" s="7">
        <v>881</v>
      </c>
      <c r="JS97" s="7">
        <v>1031</v>
      </c>
      <c r="JT97" s="7">
        <v>25</v>
      </c>
      <c r="JU97" s="151">
        <v>336.69694286603016</v>
      </c>
      <c r="JV97" s="151">
        <v>5030.4716038392644</v>
      </c>
      <c r="JW97" s="151">
        <v>1035.0247933796609</v>
      </c>
      <c r="JX97" s="151">
        <v>21.043558929126885</v>
      </c>
      <c r="JY97" s="7">
        <v>6335</v>
      </c>
      <c r="JZ97" s="7">
        <v>37912</v>
      </c>
      <c r="KA97" s="7">
        <v>23</v>
      </c>
      <c r="KB97" s="7">
        <v>14</v>
      </c>
      <c r="KC97" s="7">
        <v>19</v>
      </c>
      <c r="KD97" s="7">
        <v>0</v>
      </c>
      <c r="KE97" s="7">
        <v>0</v>
      </c>
      <c r="KF97" s="7">
        <v>0</v>
      </c>
      <c r="KG97" s="7">
        <v>175</v>
      </c>
      <c r="KH97" s="7">
        <v>2778</v>
      </c>
      <c r="KI97" s="7">
        <v>34096</v>
      </c>
      <c r="KJ97" s="7">
        <v>903</v>
      </c>
      <c r="KK97" s="7">
        <v>309</v>
      </c>
      <c r="KL97" s="7">
        <v>1904</v>
      </c>
      <c r="KM97" s="7">
        <v>28447</v>
      </c>
      <c r="KN97" s="7">
        <v>5853</v>
      </c>
      <c r="KO97" s="7">
        <v>119</v>
      </c>
      <c r="KP97" s="7">
        <v>36323</v>
      </c>
      <c r="KQ97" s="7">
        <v>1513</v>
      </c>
      <c r="KR97" s="7">
        <v>6474</v>
      </c>
      <c r="KS97" s="7">
        <v>6474</v>
      </c>
      <c r="KT97" s="7">
        <v>1305</v>
      </c>
      <c r="KU97" s="7">
        <v>438</v>
      </c>
      <c r="KV97" s="7">
        <v>1103</v>
      </c>
      <c r="KW97" s="7">
        <v>0</v>
      </c>
      <c r="KX97" s="7">
        <v>1244</v>
      </c>
      <c r="KY97" s="7">
        <v>397</v>
      </c>
      <c r="KZ97" s="7">
        <v>1094</v>
      </c>
      <c r="LA97" s="7">
        <v>0</v>
      </c>
      <c r="LB97" s="7">
        <v>3789</v>
      </c>
      <c r="LC97" s="7">
        <v>3606</v>
      </c>
      <c r="LD97" s="7">
        <v>1641</v>
      </c>
      <c r="LE97" s="7">
        <v>2748</v>
      </c>
      <c r="LF97" s="7">
        <v>22564</v>
      </c>
      <c r="LG97" s="7">
        <v>44</v>
      </c>
      <c r="LH97" s="7">
        <v>5945</v>
      </c>
      <c r="LI97" s="7">
        <v>670</v>
      </c>
      <c r="LJ97" s="7">
        <v>2144</v>
      </c>
      <c r="LK97" s="7">
        <v>0</v>
      </c>
      <c r="LL97" s="7">
        <v>911</v>
      </c>
      <c r="LM97" s="7">
        <v>212</v>
      </c>
      <c r="LN97" s="7">
        <v>46</v>
      </c>
      <c r="LO97" s="7">
        <v>5440</v>
      </c>
      <c r="LP97" s="7">
        <v>615</v>
      </c>
      <c r="LQ97" s="7">
        <v>1821</v>
      </c>
      <c r="LR97" s="7">
        <v>1</v>
      </c>
      <c r="LS97" s="7">
        <v>888</v>
      </c>
      <c r="LT97" s="7">
        <v>135</v>
      </c>
      <c r="LU97" s="232">
        <v>5.2415885764999999</v>
      </c>
      <c r="LV97" s="232">
        <v>5.5277580702</v>
      </c>
      <c r="LW97" s="232">
        <v>4.9517693550999997</v>
      </c>
      <c r="LX97" s="7">
        <v>6735</v>
      </c>
      <c r="LY97" s="7">
        <v>38086</v>
      </c>
    </row>
    <row r="98" spans="1:337" x14ac:dyDescent="0.25">
      <c r="A98" t="s">
        <v>198</v>
      </c>
      <c r="B98" t="s">
        <v>199</v>
      </c>
      <c r="C98" s="7">
        <v>31615</v>
      </c>
      <c r="D98">
        <v>40297</v>
      </c>
      <c r="F98">
        <f t="shared" si="4"/>
        <v>-40297</v>
      </c>
      <c r="G98">
        <f t="shared" si="5"/>
        <v>-100</v>
      </c>
      <c r="H98">
        <v>19875</v>
      </c>
      <c r="I98">
        <v>20422</v>
      </c>
      <c r="J98">
        <v>10762</v>
      </c>
      <c r="K98">
        <v>29535</v>
      </c>
      <c r="L98" s="7">
        <v>2809</v>
      </c>
      <c r="M98" s="7">
        <v>2800</v>
      </c>
      <c r="N98" s="7">
        <v>2798</v>
      </c>
      <c r="O98" s="7">
        <v>2381</v>
      </c>
      <c r="P98" s="7">
        <v>1782</v>
      </c>
      <c r="Q98" s="7">
        <v>1382</v>
      </c>
      <c r="R98" s="7">
        <v>1124</v>
      </c>
      <c r="S98" s="7">
        <v>931</v>
      </c>
      <c r="T98" s="7">
        <v>723</v>
      </c>
      <c r="U98" s="7">
        <v>624</v>
      </c>
      <c r="V98" s="7">
        <v>464</v>
      </c>
      <c r="W98" s="7">
        <v>378</v>
      </c>
      <c r="X98" s="7">
        <v>343</v>
      </c>
      <c r="Y98" s="7">
        <v>627</v>
      </c>
      <c r="Z98" s="7">
        <v>709</v>
      </c>
      <c r="AA98" s="7">
        <v>2754</v>
      </c>
      <c r="AB98" s="7">
        <v>2816</v>
      </c>
      <c r="AC98" s="7">
        <v>2710</v>
      </c>
      <c r="AD98" s="7">
        <v>2493</v>
      </c>
      <c r="AE98" s="7">
        <v>1962</v>
      </c>
      <c r="AF98" s="7">
        <v>1517</v>
      </c>
      <c r="AG98" s="7">
        <v>1202</v>
      </c>
      <c r="AH98" s="7">
        <v>1051</v>
      </c>
      <c r="AI98" s="7">
        <v>710</v>
      </c>
      <c r="AJ98" s="7">
        <v>678</v>
      </c>
      <c r="AK98" s="7">
        <v>519</v>
      </c>
      <c r="AL98" s="7">
        <v>389</v>
      </c>
      <c r="AM98" s="7">
        <v>313</v>
      </c>
      <c r="AN98" s="7">
        <v>601</v>
      </c>
      <c r="AO98" s="7">
        <v>707</v>
      </c>
      <c r="AP98">
        <v>38742</v>
      </c>
      <c r="AQ98">
        <v>56</v>
      </c>
      <c r="AR98">
        <v>15</v>
      </c>
      <c r="AS98">
        <v>1</v>
      </c>
      <c r="AT98">
        <v>1483</v>
      </c>
      <c r="AU98" s="7">
        <v>26731</v>
      </c>
      <c r="AV98" s="7">
        <v>13133</v>
      </c>
      <c r="AW98" s="7">
        <v>13598</v>
      </c>
      <c r="AX98" s="7">
        <v>15367</v>
      </c>
      <c r="AY98" s="7">
        <v>26731</v>
      </c>
      <c r="AZ98" s="7">
        <v>22934</v>
      </c>
      <c r="BA98" s="7">
        <v>3797</v>
      </c>
      <c r="BB98" s="7">
        <v>795</v>
      </c>
      <c r="BC98" s="7">
        <v>842</v>
      </c>
      <c r="BD98" s="7">
        <v>2009</v>
      </c>
      <c r="BE98" s="7">
        <v>2062</v>
      </c>
      <c r="BF98" s="7">
        <v>2102</v>
      </c>
      <c r="BG98" s="7">
        <v>2020</v>
      </c>
      <c r="BH98" s="7">
        <v>1795</v>
      </c>
      <c r="BI98" s="7">
        <v>1876</v>
      </c>
      <c r="BJ98" s="7">
        <v>1356</v>
      </c>
      <c r="BK98" s="7">
        <v>1470</v>
      </c>
      <c r="BL98" s="7">
        <v>1051</v>
      </c>
      <c r="BM98" s="7">
        <v>1159</v>
      </c>
      <c r="BN98" s="7">
        <v>872</v>
      </c>
      <c r="BO98" s="7">
        <v>918</v>
      </c>
      <c r="BP98" s="7">
        <v>722</v>
      </c>
      <c r="BQ98" s="7">
        <v>810</v>
      </c>
      <c r="BR98" s="7">
        <v>527</v>
      </c>
      <c r="BS98" s="7">
        <v>529</v>
      </c>
      <c r="BT98" s="7">
        <v>485</v>
      </c>
      <c r="BU98" s="7">
        <v>521</v>
      </c>
      <c r="BV98" s="7">
        <v>342</v>
      </c>
      <c r="BW98" s="7">
        <v>396</v>
      </c>
      <c r="BX98" s="7">
        <v>298</v>
      </c>
      <c r="BY98" s="7">
        <v>303</v>
      </c>
      <c r="BZ98" s="7">
        <v>268</v>
      </c>
      <c r="CA98" s="7">
        <v>248</v>
      </c>
      <c r="CB98" s="7">
        <v>511</v>
      </c>
      <c r="CC98" s="7">
        <v>444</v>
      </c>
      <c r="CD98" s="7">
        <v>8349</v>
      </c>
      <c r="CE98" s="7">
        <v>6887</v>
      </c>
      <c r="CF98" s="7">
        <v>4665</v>
      </c>
      <c r="CG98" s="7">
        <v>6573</v>
      </c>
      <c r="CH98" s="7">
        <v>6376</v>
      </c>
      <c r="CI98" s="7">
        <v>1003</v>
      </c>
      <c r="CJ98" s="7">
        <v>34953</v>
      </c>
      <c r="CK98" s="7">
        <v>3939</v>
      </c>
      <c r="CL98" s="7">
        <v>227</v>
      </c>
      <c r="CM98" s="7">
        <v>761</v>
      </c>
      <c r="CN98" s="7">
        <v>1004</v>
      </c>
      <c r="CO98" s="7">
        <v>1268</v>
      </c>
      <c r="CP98" s="7">
        <v>1150</v>
      </c>
      <c r="CQ98" s="7">
        <v>2969</v>
      </c>
      <c r="CR98" s="7">
        <v>6193</v>
      </c>
      <c r="CS98" s="7">
        <v>22084</v>
      </c>
      <c r="CT98" s="7">
        <v>1308</v>
      </c>
      <c r="CU98" s="7">
        <v>592</v>
      </c>
      <c r="CV98" s="7">
        <v>300</v>
      </c>
      <c r="CW98" s="7">
        <v>831</v>
      </c>
      <c r="CX98" s="7">
        <v>82</v>
      </c>
      <c r="CY98" s="7">
        <v>28276</v>
      </c>
      <c r="CZ98" s="7">
        <v>9333</v>
      </c>
      <c r="DA98" s="7">
        <v>293</v>
      </c>
      <c r="DB98" s="7">
        <v>227</v>
      </c>
      <c r="DC98" s="7">
        <v>21</v>
      </c>
      <c r="DD98" s="7">
        <v>6681</v>
      </c>
      <c r="DE98" s="7">
        <v>7287</v>
      </c>
      <c r="DF98" s="7">
        <v>15567</v>
      </c>
      <c r="DG98" s="7">
        <v>0</v>
      </c>
      <c r="DH98" s="7">
        <v>0</v>
      </c>
      <c r="DI98" s="7">
        <v>10762</v>
      </c>
      <c r="DJ98" s="7">
        <v>0</v>
      </c>
      <c r="DK98" s="7">
        <v>0</v>
      </c>
      <c r="DL98" s="7">
        <v>84</v>
      </c>
      <c r="DM98" s="7">
        <v>22</v>
      </c>
      <c r="DN98" s="7">
        <v>15</v>
      </c>
      <c r="DO98" s="7">
        <v>0</v>
      </c>
      <c r="DP98" s="7">
        <v>0</v>
      </c>
      <c r="DQ98" s="7">
        <v>1</v>
      </c>
      <c r="DR98" s="7">
        <v>0</v>
      </c>
      <c r="DS98" s="7">
        <v>0</v>
      </c>
      <c r="DT98" s="7">
        <v>107</v>
      </c>
      <c r="DU98" s="7">
        <v>88</v>
      </c>
      <c r="DV98" s="7">
        <v>60</v>
      </c>
      <c r="DW98" s="7">
        <v>28</v>
      </c>
      <c r="DX98" s="7">
        <v>24</v>
      </c>
      <c r="DY98" s="7">
        <v>21</v>
      </c>
      <c r="DZ98" s="7">
        <v>34</v>
      </c>
      <c r="EA98" s="7">
        <v>29</v>
      </c>
      <c r="EB98" s="7">
        <v>12</v>
      </c>
      <c r="EC98" s="7">
        <v>11</v>
      </c>
      <c r="ED98" s="7">
        <v>7</v>
      </c>
      <c r="EE98" s="7">
        <v>7</v>
      </c>
      <c r="EF98" s="7">
        <v>25</v>
      </c>
      <c r="EG98" s="7">
        <v>24</v>
      </c>
      <c r="EH98" s="7">
        <v>128</v>
      </c>
      <c r="EI98" s="7">
        <v>68</v>
      </c>
      <c r="EJ98" s="7">
        <v>28</v>
      </c>
      <c r="EK98" s="7">
        <v>34</v>
      </c>
      <c r="EL98" s="7">
        <v>20</v>
      </c>
      <c r="EM98" s="7">
        <v>12</v>
      </c>
      <c r="EN98" s="7">
        <v>34</v>
      </c>
      <c r="EO98" s="7">
        <v>9540</v>
      </c>
      <c r="EP98" s="7">
        <v>9446</v>
      </c>
      <c r="EQ98" s="7">
        <v>94</v>
      </c>
      <c r="ER98" s="7">
        <v>2838</v>
      </c>
      <c r="ES98" s="7">
        <v>1428</v>
      </c>
      <c r="ET98" s="7">
        <v>1411</v>
      </c>
      <c r="EU98" s="7">
        <v>17</v>
      </c>
      <c r="EV98" s="7">
        <v>11527</v>
      </c>
      <c r="EW98" s="134">
        <v>60.327809471999998</v>
      </c>
      <c r="EX98" s="134">
        <v>16.173141356999999</v>
      </c>
      <c r="EY98" s="134">
        <v>6.9093543421000003</v>
      </c>
      <c r="EZ98" s="134">
        <v>16.100697274000002</v>
      </c>
      <c r="FA98" s="134">
        <v>0.48899755499999997</v>
      </c>
      <c r="FB98" s="7">
        <v>2692</v>
      </c>
      <c r="FC98" s="7">
        <v>4607</v>
      </c>
      <c r="FD98" s="7">
        <v>507</v>
      </c>
      <c r="FE98" s="7">
        <v>1567</v>
      </c>
      <c r="FF98" s="7">
        <v>12</v>
      </c>
      <c r="FG98" s="7">
        <v>1036</v>
      </c>
      <c r="FH98" s="7">
        <v>497</v>
      </c>
      <c r="FI98" s="134">
        <v>71.257810378000002</v>
      </c>
      <c r="FJ98" s="134">
        <v>15.394367473000001</v>
      </c>
      <c r="FK98" s="134">
        <v>11.201666213999999</v>
      </c>
      <c r="FL98" s="134">
        <v>2.1461559359</v>
      </c>
      <c r="FM98" s="151">
        <v>11356</v>
      </c>
      <c r="FN98" s="151">
        <v>7753</v>
      </c>
      <c r="FO98" s="7">
        <v>2266</v>
      </c>
      <c r="FP98" s="7">
        <v>350</v>
      </c>
      <c r="FQ98" s="7">
        <v>81</v>
      </c>
      <c r="FR98" s="7">
        <v>3</v>
      </c>
      <c r="FS98" s="7">
        <v>8664</v>
      </c>
      <c r="FT98" s="7">
        <v>38</v>
      </c>
      <c r="FU98" s="7">
        <v>28</v>
      </c>
      <c r="FV98" s="7">
        <v>766</v>
      </c>
      <c r="FW98" s="7">
        <v>12373</v>
      </c>
      <c r="FX98" s="7">
        <v>7290</v>
      </c>
      <c r="FY98" s="7">
        <v>2335</v>
      </c>
      <c r="FZ98" s="7">
        <v>337</v>
      </c>
      <c r="GA98" s="7">
        <v>103</v>
      </c>
      <c r="GB98" s="7">
        <v>5</v>
      </c>
      <c r="GC98" s="7">
        <v>9594</v>
      </c>
      <c r="GD98" s="7">
        <v>54</v>
      </c>
      <c r="GE98" s="7">
        <v>18</v>
      </c>
      <c r="GF98" s="7">
        <v>759</v>
      </c>
      <c r="GG98" s="7">
        <v>1484</v>
      </c>
      <c r="GH98" s="7">
        <v>1779</v>
      </c>
      <c r="GI98" s="7">
        <v>1783</v>
      </c>
      <c r="GJ98" s="7">
        <v>1378</v>
      </c>
      <c r="GK98" s="7">
        <v>847</v>
      </c>
      <c r="GL98" s="7">
        <v>750</v>
      </c>
      <c r="GM98" s="7">
        <v>702</v>
      </c>
      <c r="GN98" s="7">
        <v>619</v>
      </c>
      <c r="GO98" s="7">
        <v>478</v>
      </c>
      <c r="GP98" s="7">
        <v>386</v>
      </c>
      <c r="GQ98" s="7">
        <v>301</v>
      </c>
      <c r="GR98" s="7">
        <v>236</v>
      </c>
      <c r="GS98" s="7">
        <v>184</v>
      </c>
      <c r="GT98" s="7">
        <v>128</v>
      </c>
      <c r="GU98" s="7">
        <v>139</v>
      </c>
      <c r="GV98" s="7">
        <v>72</v>
      </c>
      <c r="GW98" s="7">
        <v>38</v>
      </c>
      <c r="GX98" s="7">
        <v>45</v>
      </c>
      <c r="GY98" s="7">
        <v>1490</v>
      </c>
      <c r="GZ98" s="7">
        <v>1727</v>
      </c>
      <c r="HA98" s="7">
        <v>1702</v>
      </c>
      <c r="HB98" s="7">
        <v>1467</v>
      </c>
      <c r="HC98" s="7">
        <v>1092</v>
      </c>
      <c r="HD98" s="7">
        <v>999</v>
      </c>
      <c r="HE98" s="7">
        <v>858</v>
      </c>
      <c r="HF98" s="7">
        <v>752</v>
      </c>
      <c r="HG98" s="7">
        <v>507</v>
      </c>
      <c r="HH98" s="7">
        <v>481</v>
      </c>
      <c r="HI98" s="7">
        <v>368</v>
      </c>
      <c r="HJ98" s="7">
        <v>270</v>
      </c>
      <c r="HK98" s="7">
        <v>226</v>
      </c>
      <c r="HL98" s="7">
        <v>145</v>
      </c>
      <c r="HM98" s="7">
        <v>134</v>
      </c>
      <c r="HN98" s="7">
        <v>67</v>
      </c>
      <c r="HO98" s="7">
        <v>41</v>
      </c>
      <c r="HP98" s="7">
        <v>39</v>
      </c>
      <c r="HQ98" s="7">
        <v>7312</v>
      </c>
      <c r="HR98" s="7">
        <v>15</v>
      </c>
      <c r="HS98" s="7">
        <v>2</v>
      </c>
      <c r="HT98" s="7">
        <v>1</v>
      </c>
      <c r="HU98" s="7">
        <v>0</v>
      </c>
      <c r="HV98" s="7">
        <v>2</v>
      </c>
      <c r="HW98" s="7">
        <v>0</v>
      </c>
      <c r="HX98" s="7">
        <v>511</v>
      </c>
      <c r="HY98" s="7">
        <v>227</v>
      </c>
      <c r="HZ98" s="7">
        <v>761</v>
      </c>
      <c r="IA98" s="7">
        <v>1004</v>
      </c>
      <c r="IB98" s="7">
        <v>1268</v>
      </c>
      <c r="IC98" s="7">
        <v>1150</v>
      </c>
      <c r="ID98" s="7">
        <v>929</v>
      </c>
      <c r="IE98" s="7">
        <v>663</v>
      </c>
      <c r="IF98" s="7">
        <v>481</v>
      </c>
      <c r="IG98" s="7">
        <v>894</v>
      </c>
      <c r="IH98" s="7">
        <v>961</v>
      </c>
      <c r="II98" s="7">
        <v>3639</v>
      </c>
      <c r="IJ98" s="7">
        <v>1579</v>
      </c>
      <c r="IK98" s="7">
        <v>672</v>
      </c>
      <c r="IL98" s="7">
        <v>261</v>
      </c>
      <c r="IM98" s="7">
        <v>107</v>
      </c>
      <c r="IN98" s="7">
        <v>29</v>
      </c>
      <c r="IO98" s="7">
        <v>12</v>
      </c>
      <c r="IP98" s="7">
        <v>12</v>
      </c>
      <c r="IQ98" s="7">
        <v>5101</v>
      </c>
      <c r="IR98" s="7">
        <v>1555</v>
      </c>
      <c r="IS98" s="7">
        <v>429</v>
      </c>
      <c r="IT98" s="7">
        <v>153</v>
      </c>
      <c r="IU98" s="7">
        <v>42</v>
      </c>
      <c r="IV98" s="7">
        <v>1734</v>
      </c>
      <c r="IW98" s="7">
        <v>4598</v>
      </c>
      <c r="IX98" s="7">
        <v>21</v>
      </c>
      <c r="IY98" s="7">
        <v>70</v>
      </c>
      <c r="IZ98" s="7">
        <v>38</v>
      </c>
      <c r="JA98" s="7">
        <v>845</v>
      </c>
      <c r="JB98" s="7">
        <v>3086</v>
      </c>
      <c r="JC98" s="7">
        <v>293</v>
      </c>
      <c r="JD98" s="7">
        <v>558</v>
      </c>
      <c r="JE98" s="7">
        <v>933</v>
      </c>
      <c r="JF98" s="151">
        <v>7169.5373212287786</v>
      </c>
      <c r="JG98" s="151">
        <v>137.55463527815348</v>
      </c>
      <c r="JH98" s="7">
        <v>771</v>
      </c>
      <c r="JI98" s="7">
        <v>6308</v>
      </c>
      <c r="JJ98" s="7">
        <v>222</v>
      </c>
      <c r="JK98" s="7">
        <v>76</v>
      </c>
      <c r="JL98" s="7">
        <v>1991</v>
      </c>
      <c r="JM98" s="7">
        <v>595</v>
      </c>
      <c r="JN98" s="7">
        <v>399</v>
      </c>
      <c r="JO98" s="7">
        <v>3088</v>
      </c>
      <c r="JP98" s="7">
        <v>4046</v>
      </c>
      <c r="JQ98" s="7">
        <v>310</v>
      </c>
      <c r="JR98" s="7">
        <v>316</v>
      </c>
      <c r="JS98" s="7">
        <v>1758</v>
      </c>
      <c r="JT98" s="7">
        <v>91</v>
      </c>
      <c r="JU98" s="151">
        <v>469.39333472848517</v>
      </c>
      <c r="JV98" s="151">
        <v>4120.5676813392247</v>
      </c>
      <c r="JW98" s="151">
        <v>2554.9113360767101</v>
      </c>
      <c r="JX98" s="151">
        <v>24.664969084358557</v>
      </c>
      <c r="JY98" s="7">
        <v>7169</v>
      </c>
      <c r="JZ98" s="7">
        <v>38542</v>
      </c>
      <c r="KA98" s="7">
        <v>66</v>
      </c>
      <c r="KB98" s="7">
        <v>13</v>
      </c>
      <c r="KC98" s="7">
        <v>2</v>
      </c>
      <c r="KD98" s="7">
        <v>0</v>
      </c>
      <c r="KE98" s="7">
        <v>13</v>
      </c>
      <c r="KF98" s="7">
        <v>0</v>
      </c>
      <c r="KG98" s="7">
        <v>1648</v>
      </c>
      <c r="KH98" s="7">
        <v>3981</v>
      </c>
      <c r="KI98" s="7">
        <v>33550</v>
      </c>
      <c r="KJ98" s="7">
        <v>1018</v>
      </c>
      <c r="KK98" s="7">
        <v>330</v>
      </c>
      <c r="KL98" s="7">
        <v>2474</v>
      </c>
      <c r="KM98" s="7">
        <v>21718</v>
      </c>
      <c r="KN98" s="7">
        <v>13466</v>
      </c>
      <c r="KO98" s="7">
        <v>130</v>
      </c>
      <c r="KP98" s="7">
        <v>37788</v>
      </c>
      <c r="KQ98" s="7">
        <v>725</v>
      </c>
      <c r="KR98" s="7">
        <v>6540</v>
      </c>
      <c r="KS98" s="7">
        <v>6540</v>
      </c>
      <c r="KT98" s="7">
        <v>1482</v>
      </c>
      <c r="KU98" s="7">
        <v>416</v>
      </c>
      <c r="KV98" s="7">
        <v>983</v>
      </c>
      <c r="KW98" s="7">
        <v>1</v>
      </c>
      <c r="KX98" s="7">
        <v>1586</v>
      </c>
      <c r="KY98" s="7">
        <v>391</v>
      </c>
      <c r="KZ98" s="7">
        <v>854</v>
      </c>
      <c r="LA98" s="7">
        <v>3</v>
      </c>
      <c r="LB98" s="7">
        <v>3227</v>
      </c>
      <c r="LC98" s="7">
        <v>3150</v>
      </c>
      <c r="LD98" s="7">
        <v>2724</v>
      </c>
      <c r="LE98" s="7">
        <v>4363</v>
      </c>
      <c r="LF98" s="7">
        <v>22194</v>
      </c>
      <c r="LG98" s="7">
        <v>38</v>
      </c>
      <c r="LH98" s="7">
        <v>4231</v>
      </c>
      <c r="LI98" s="7">
        <v>836</v>
      </c>
      <c r="LJ98" s="7">
        <v>1537</v>
      </c>
      <c r="LK98" s="7">
        <v>13</v>
      </c>
      <c r="LL98" s="7">
        <v>1127</v>
      </c>
      <c r="LM98" s="7">
        <v>391</v>
      </c>
      <c r="LN98" s="7">
        <v>37</v>
      </c>
      <c r="LO98" s="7">
        <v>4315</v>
      </c>
      <c r="LP98" s="7">
        <v>736</v>
      </c>
      <c r="LQ98" s="7">
        <v>1225</v>
      </c>
      <c r="LR98" s="7">
        <v>8</v>
      </c>
      <c r="LS98" s="7">
        <v>861</v>
      </c>
      <c r="LT98" s="7">
        <v>245</v>
      </c>
      <c r="LU98" s="232">
        <v>4.8732439191000001</v>
      </c>
      <c r="LV98" s="232">
        <v>5.4275926795</v>
      </c>
      <c r="LW98" s="232">
        <v>4.3523809523999999</v>
      </c>
      <c r="LX98" s="7">
        <v>7377</v>
      </c>
      <c r="LY98" s="7">
        <v>38879</v>
      </c>
    </row>
    <row r="99" spans="1:337" x14ac:dyDescent="0.25">
      <c r="A99" t="s">
        <v>200</v>
      </c>
      <c r="B99" t="s">
        <v>201</v>
      </c>
      <c r="C99" s="7">
        <v>7987</v>
      </c>
      <c r="D99">
        <v>12269</v>
      </c>
      <c r="F99">
        <f t="shared" ref="F99:F126" si="6">E99-D99</f>
        <v>-12269</v>
      </c>
      <c r="G99">
        <f t="shared" ref="G99:G126" si="7">E99/D99*100-100</f>
        <v>-100</v>
      </c>
      <c r="H99">
        <v>6113</v>
      </c>
      <c r="I99">
        <v>6156</v>
      </c>
      <c r="J99">
        <v>0</v>
      </c>
      <c r="K99">
        <v>12269</v>
      </c>
      <c r="L99" s="7">
        <v>844</v>
      </c>
      <c r="M99" s="7">
        <v>962</v>
      </c>
      <c r="N99" s="7">
        <v>898</v>
      </c>
      <c r="O99" s="7">
        <v>665</v>
      </c>
      <c r="P99" s="7">
        <v>535</v>
      </c>
      <c r="Q99" s="7">
        <v>420</v>
      </c>
      <c r="R99" s="7">
        <v>330</v>
      </c>
      <c r="S99" s="7">
        <v>360</v>
      </c>
      <c r="T99" s="7">
        <v>213</v>
      </c>
      <c r="U99" s="7">
        <v>207</v>
      </c>
      <c r="V99" s="7">
        <v>151</v>
      </c>
      <c r="W99" s="7">
        <v>112</v>
      </c>
      <c r="X99" s="7">
        <v>112</v>
      </c>
      <c r="Y99" s="7">
        <v>160</v>
      </c>
      <c r="Z99" s="7">
        <v>144</v>
      </c>
      <c r="AA99" s="7">
        <v>851</v>
      </c>
      <c r="AB99" s="7">
        <v>909</v>
      </c>
      <c r="AC99" s="7">
        <v>866</v>
      </c>
      <c r="AD99" s="7">
        <v>711</v>
      </c>
      <c r="AE99" s="7">
        <v>549</v>
      </c>
      <c r="AF99" s="7">
        <v>452</v>
      </c>
      <c r="AG99" s="7">
        <v>387</v>
      </c>
      <c r="AH99" s="7">
        <v>332</v>
      </c>
      <c r="AI99" s="7">
        <v>214</v>
      </c>
      <c r="AJ99" s="7">
        <v>197</v>
      </c>
      <c r="AK99" s="7">
        <v>158</v>
      </c>
      <c r="AL99" s="7">
        <v>96</v>
      </c>
      <c r="AM99" s="7">
        <v>106</v>
      </c>
      <c r="AN99" s="7">
        <v>184</v>
      </c>
      <c r="AO99" s="7">
        <v>144</v>
      </c>
      <c r="AP99">
        <v>11945</v>
      </c>
      <c r="AQ99">
        <v>7</v>
      </c>
      <c r="AR99">
        <v>1</v>
      </c>
      <c r="AS99" t="s">
        <v>358</v>
      </c>
      <c r="AT99">
        <v>316</v>
      </c>
      <c r="AU99" s="7">
        <v>10588</v>
      </c>
      <c r="AV99" s="7">
        <v>5285</v>
      </c>
      <c r="AW99" s="7">
        <v>5303</v>
      </c>
      <c r="AX99" s="7">
        <v>3576</v>
      </c>
      <c r="AY99" s="7">
        <v>10588</v>
      </c>
      <c r="AZ99" s="7">
        <v>10588</v>
      </c>
      <c r="BA99" s="7">
        <v>0</v>
      </c>
      <c r="BB99" s="7">
        <v>353</v>
      </c>
      <c r="BC99" s="7">
        <v>348</v>
      </c>
      <c r="BD99" s="7">
        <v>915</v>
      </c>
      <c r="BE99" s="7">
        <v>869</v>
      </c>
      <c r="BF99" s="7">
        <v>864</v>
      </c>
      <c r="BG99" s="7">
        <v>837</v>
      </c>
      <c r="BH99" s="7">
        <v>639</v>
      </c>
      <c r="BI99" s="7">
        <v>675</v>
      </c>
      <c r="BJ99" s="7">
        <v>516</v>
      </c>
      <c r="BK99" s="7">
        <v>522</v>
      </c>
      <c r="BL99" s="7">
        <v>401</v>
      </c>
      <c r="BM99" s="7">
        <v>428</v>
      </c>
      <c r="BN99" s="7">
        <v>317</v>
      </c>
      <c r="BO99" s="7">
        <v>369</v>
      </c>
      <c r="BP99" s="7">
        <v>340</v>
      </c>
      <c r="BQ99" s="7">
        <v>320</v>
      </c>
      <c r="BR99" s="7">
        <v>211</v>
      </c>
      <c r="BS99" s="7">
        <v>206</v>
      </c>
      <c r="BT99" s="7">
        <v>198</v>
      </c>
      <c r="BU99" s="7">
        <v>195</v>
      </c>
      <c r="BV99" s="7">
        <v>149</v>
      </c>
      <c r="BW99" s="7">
        <v>156</v>
      </c>
      <c r="BX99" s="7">
        <v>112</v>
      </c>
      <c r="BY99" s="7">
        <v>92</v>
      </c>
      <c r="BZ99" s="7">
        <v>112</v>
      </c>
      <c r="CA99" s="7">
        <v>104</v>
      </c>
      <c r="CB99" s="7">
        <v>158</v>
      </c>
      <c r="CC99" s="7">
        <v>182</v>
      </c>
      <c r="CD99" s="7">
        <v>2423</v>
      </c>
      <c r="CE99" s="7">
        <v>1449</v>
      </c>
      <c r="CF99" s="7">
        <v>2824</v>
      </c>
      <c r="CG99" s="7">
        <v>3818</v>
      </c>
      <c r="CH99" s="7">
        <v>2073</v>
      </c>
      <c r="CI99" s="7">
        <v>226</v>
      </c>
      <c r="CJ99" s="7">
        <v>11068</v>
      </c>
      <c r="CK99" s="7">
        <v>916</v>
      </c>
      <c r="CL99" s="7">
        <v>60</v>
      </c>
      <c r="CM99" s="7">
        <v>197</v>
      </c>
      <c r="CN99" s="7">
        <v>327</v>
      </c>
      <c r="CO99" s="7">
        <v>375</v>
      </c>
      <c r="CP99" s="7">
        <v>346</v>
      </c>
      <c r="CQ99" s="7">
        <v>994</v>
      </c>
      <c r="CR99" s="7">
        <v>1992</v>
      </c>
      <c r="CS99" s="7">
        <v>6811</v>
      </c>
      <c r="CT99" s="7">
        <v>264</v>
      </c>
      <c r="CU99" s="7">
        <v>159</v>
      </c>
      <c r="CV99" s="7">
        <v>76</v>
      </c>
      <c r="CW99" s="7">
        <v>203</v>
      </c>
      <c r="CX99" s="7">
        <v>26</v>
      </c>
      <c r="CY99" s="7">
        <v>8936</v>
      </c>
      <c r="CZ99" s="7">
        <v>2216</v>
      </c>
      <c r="DA99" s="7">
        <v>49</v>
      </c>
      <c r="DB99" s="7">
        <v>60</v>
      </c>
      <c r="DC99" s="7">
        <v>9</v>
      </c>
      <c r="DD99" s="7">
        <v>5919</v>
      </c>
      <c r="DE99" s="7">
        <v>2171</v>
      </c>
      <c r="DF99" s="7">
        <v>4179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116</v>
      </c>
      <c r="DM99" s="7">
        <v>6</v>
      </c>
      <c r="DN99" s="7">
        <v>4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46</v>
      </c>
      <c r="DU99" s="7">
        <v>50</v>
      </c>
      <c r="DV99" s="7">
        <v>17</v>
      </c>
      <c r="DW99" s="7">
        <v>12</v>
      </c>
      <c r="DX99" s="7">
        <v>9</v>
      </c>
      <c r="DY99" s="7">
        <v>9</v>
      </c>
      <c r="DZ99" s="7">
        <v>11</v>
      </c>
      <c r="EA99" s="7">
        <v>7</v>
      </c>
      <c r="EB99" s="7">
        <v>0</v>
      </c>
      <c r="EC99" s="7">
        <v>1</v>
      </c>
      <c r="ED99" s="7">
        <v>0</v>
      </c>
      <c r="EE99" s="7">
        <v>0</v>
      </c>
      <c r="EF99" s="7">
        <v>6</v>
      </c>
      <c r="EG99" s="7">
        <v>2</v>
      </c>
      <c r="EH99" s="7">
        <v>67</v>
      </c>
      <c r="EI99" s="7">
        <v>24</v>
      </c>
      <c r="EJ99" s="7">
        <v>13</v>
      </c>
      <c r="EK99" s="7">
        <v>11</v>
      </c>
      <c r="EL99" s="7">
        <v>1</v>
      </c>
      <c r="EM99" s="7">
        <v>0</v>
      </c>
      <c r="EN99" s="7">
        <v>5</v>
      </c>
      <c r="EO99" s="7">
        <v>2827</v>
      </c>
      <c r="EP99" s="7">
        <v>2775</v>
      </c>
      <c r="EQ99" s="7">
        <v>52</v>
      </c>
      <c r="ER99" s="7">
        <v>892</v>
      </c>
      <c r="ES99" s="7">
        <v>144</v>
      </c>
      <c r="ET99" s="7">
        <v>143</v>
      </c>
      <c r="EU99" s="7">
        <v>1</v>
      </c>
      <c r="EV99" s="7">
        <v>3742</v>
      </c>
      <c r="EW99" s="134">
        <v>87.551440329000002</v>
      </c>
      <c r="EX99" s="134">
        <v>3.4293552811999999</v>
      </c>
      <c r="EY99" s="134">
        <v>2.8120713305999998</v>
      </c>
      <c r="EZ99" s="134">
        <v>4.8696844992999999</v>
      </c>
      <c r="FA99" s="134">
        <v>1.3374485597000001</v>
      </c>
      <c r="FB99" s="7">
        <v>1186</v>
      </c>
      <c r="FC99" s="7">
        <v>1214</v>
      </c>
      <c r="FD99" s="7">
        <v>90</v>
      </c>
      <c r="FE99" s="7">
        <v>315</v>
      </c>
      <c r="FF99" s="7">
        <v>1</v>
      </c>
      <c r="FG99" s="7">
        <v>134</v>
      </c>
      <c r="FH99" s="7">
        <v>28</v>
      </c>
      <c r="FI99" s="134">
        <v>83.093278463999994</v>
      </c>
      <c r="FJ99" s="134">
        <v>4.3552812071</v>
      </c>
      <c r="FK99" s="134">
        <v>4.0809327845999999</v>
      </c>
      <c r="FL99" s="134">
        <v>8.4705075446000002</v>
      </c>
      <c r="FM99" s="151">
        <v>3937</v>
      </c>
      <c r="FN99" s="151">
        <v>1955</v>
      </c>
      <c r="FO99" s="7">
        <v>1225</v>
      </c>
      <c r="FP99" s="7">
        <v>15</v>
      </c>
      <c r="FQ99" s="7">
        <v>1</v>
      </c>
      <c r="FR99" s="7">
        <v>0</v>
      </c>
      <c r="FS99" s="7">
        <v>2637</v>
      </c>
      <c r="FT99" s="7">
        <v>9</v>
      </c>
      <c r="FU99" s="7">
        <v>56</v>
      </c>
      <c r="FV99" s="7">
        <v>221</v>
      </c>
      <c r="FW99" s="7">
        <v>4086</v>
      </c>
      <c r="FX99" s="7">
        <v>1868</v>
      </c>
      <c r="FY99" s="7">
        <v>1288</v>
      </c>
      <c r="FZ99" s="7">
        <v>11</v>
      </c>
      <c r="GA99" s="7">
        <v>0</v>
      </c>
      <c r="GB99" s="7">
        <v>0</v>
      </c>
      <c r="GC99" s="7">
        <v>2732</v>
      </c>
      <c r="GD99" s="7">
        <v>12</v>
      </c>
      <c r="GE99" s="7">
        <v>51</v>
      </c>
      <c r="GF99" s="7">
        <v>202</v>
      </c>
      <c r="GG99" s="7">
        <v>516</v>
      </c>
      <c r="GH99" s="7">
        <v>632</v>
      </c>
      <c r="GI99" s="7">
        <v>612</v>
      </c>
      <c r="GJ99" s="7">
        <v>431</v>
      </c>
      <c r="GK99" s="7">
        <v>325</v>
      </c>
      <c r="GL99" s="7">
        <v>283</v>
      </c>
      <c r="GM99" s="7">
        <v>228</v>
      </c>
      <c r="GN99" s="7">
        <v>251</v>
      </c>
      <c r="GO99" s="7">
        <v>153</v>
      </c>
      <c r="GP99" s="7">
        <v>141</v>
      </c>
      <c r="GQ99" s="7">
        <v>103</v>
      </c>
      <c r="GR99" s="7">
        <v>71</v>
      </c>
      <c r="GS99" s="7">
        <v>77</v>
      </c>
      <c r="GT99" s="7">
        <v>50</v>
      </c>
      <c r="GU99" s="7">
        <v>27</v>
      </c>
      <c r="GV99" s="7">
        <v>14</v>
      </c>
      <c r="GW99" s="7">
        <v>15</v>
      </c>
      <c r="GX99" s="7">
        <v>6</v>
      </c>
      <c r="GY99" s="7">
        <v>524</v>
      </c>
      <c r="GZ99" s="7">
        <v>609</v>
      </c>
      <c r="HA99" s="7">
        <v>598</v>
      </c>
      <c r="HB99" s="7">
        <v>453</v>
      </c>
      <c r="HC99" s="7">
        <v>361</v>
      </c>
      <c r="HD99" s="7">
        <v>313</v>
      </c>
      <c r="HE99" s="7">
        <v>276</v>
      </c>
      <c r="HF99" s="7">
        <v>253</v>
      </c>
      <c r="HG99" s="7">
        <v>152</v>
      </c>
      <c r="HH99" s="7">
        <v>142</v>
      </c>
      <c r="HI99" s="7">
        <v>123</v>
      </c>
      <c r="HJ99" s="7">
        <v>67</v>
      </c>
      <c r="HK99" s="7">
        <v>75</v>
      </c>
      <c r="HL99" s="7">
        <v>61</v>
      </c>
      <c r="HM99" s="7">
        <v>43</v>
      </c>
      <c r="HN99" s="7">
        <v>20</v>
      </c>
      <c r="HO99" s="7">
        <v>8</v>
      </c>
      <c r="HP99" s="7">
        <v>7</v>
      </c>
      <c r="HQ99" s="7">
        <v>2280</v>
      </c>
      <c r="HR99" s="7">
        <v>1</v>
      </c>
      <c r="HS99" s="7">
        <v>1</v>
      </c>
      <c r="HT99" s="7">
        <v>0</v>
      </c>
      <c r="HU99" s="7">
        <v>0</v>
      </c>
      <c r="HV99" s="7">
        <v>0</v>
      </c>
      <c r="HW99" s="7">
        <v>0</v>
      </c>
      <c r="HX99" s="7">
        <v>112</v>
      </c>
      <c r="HY99" s="7">
        <v>60</v>
      </c>
      <c r="HZ99" s="7">
        <v>197</v>
      </c>
      <c r="IA99" s="7">
        <v>327</v>
      </c>
      <c r="IB99" s="7">
        <v>375</v>
      </c>
      <c r="IC99" s="7">
        <v>346</v>
      </c>
      <c r="ID99" s="7">
        <v>450</v>
      </c>
      <c r="IE99" s="7">
        <v>171</v>
      </c>
      <c r="IF99" s="7">
        <v>155</v>
      </c>
      <c r="IG99" s="7">
        <v>218</v>
      </c>
      <c r="IH99" s="7">
        <v>207</v>
      </c>
      <c r="II99" s="7">
        <v>1325</v>
      </c>
      <c r="IJ99" s="7">
        <v>468</v>
      </c>
      <c r="IK99" s="7">
        <v>148</v>
      </c>
      <c r="IL99" s="7">
        <v>77</v>
      </c>
      <c r="IM99" s="7">
        <v>27</v>
      </c>
      <c r="IN99" s="7">
        <v>5</v>
      </c>
      <c r="IO99" s="7">
        <v>2</v>
      </c>
      <c r="IP99" s="7">
        <v>1</v>
      </c>
      <c r="IQ99" s="7">
        <v>1597</v>
      </c>
      <c r="IR99" s="7">
        <v>475</v>
      </c>
      <c r="IS99" s="7">
        <v>125</v>
      </c>
      <c r="IT99" s="7">
        <v>50</v>
      </c>
      <c r="IU99" s="7">
        <v>15</v>
      </c>
      <c r="IV99" s="7">
        <v>491</v>
      </c>
      <c r="IW99" s="7">
        <v>842</v>
      </c>
      <c r="IX99" s="7">
        <v>31</v>
      </c>
      <c r="IY99" s="7">
        <v>27</v>
      </c>
      <c r="IZ99" s="7">
        <v>0</v>
      </c>
      <c r="JA99" s="7">
        <v>881</v>
      </c>
      <c r="JB99" s="7">
        <v>342</v>
      </c>
      <c r="JC99" s="7">
        <v>339</v>
      </c>
      <c r="JD99" s="7">
        <v>45</v>
      </c>
      <c r="JE99" s="7">
        <v>19</v>
      </c>
      <c r="JF99" s="151">
        <v>962.26505222532421</v>
      </c>
      <c r="JG99" s="151">
        <v>1304.1223734106368</v>
      </c>
      <c r="JH99" s="7">
        <v>609</v>
      </c>
      <c r="JI99" s="7">
        <v>1652</v>
      </c>
      <c r="JJ99" s="7">
        <v>10</v>
      </c>
      <c r="JK99" s="7">
        <v>28</v>
      </c>
      <c r="JL99" s="7">
        <v>271</v>
      </c>
      <c r="JM99" s="7">
        <v>103</v>
      </c>
      <c r="JN99" s="7">
        <v>96</v>
      </c>
      <c r="JO99" s="7">
        <v>850</v>
      </c>
      <c r="JP99" s="7">
        <v>659</v>
      </c>
      <c r="JQ99" s="7">
        <v>17</v>
      </c>
      <c r="JR99" s="7">
        <v>8</v>
      </c>
      <c r="JS99" s="7">
        <v>169</v>
      </c>
      <c r="JT99" s="7">
        <v>5</v>
      </c>
      <c r="JU99" s="151">
        <v>140.61807880405954</v>
      </c>
      <c r="JV99" s="151">
        <v>400.75193263530747</v>
      </c>
      <c r="JW99" s="151">
        <v>406.31526726739168</v>
      </c>
      <c r="JX99" s="151">
        <v>14.579773518565519</v>
      </c>
      <c r="JY99" s="7">
        <v>1818</v>
      </c>
      <c r="JZ99" s="7">
        <v>11878</v>
      </c>
      <c r="KA99" s="7">
        <v>4</v>
      </c>
      <c r="KB99" s="7">
        <v>4</v>
      </c>
      <c r="KC99" s="7">
        <v>0</v>
      </c>
      <c r="KD99" s="7">
        <v>0</v>
      </c>
      <c r="KE99" s="7">
        <v>0</v>
      </c>
      <c r="KF99" s="7">
        <v>0</v>
      </c>
      <c r="KG99" s="7">
        <v>383</v>
      </c>
      <c r="KH99" s="7">
        <v>3052</v>
      </c>
      <c r="KI99" s="7">
        <v>8731</v>
      </c>
      <c r="KJ99" s="7">
        <v>46</v>
      </c>
      <c r="KK99" s="7">
        <v>155</v>
      </c>
      <c r="KL99" s="7">
        <v>733</v>
      </c>
      <c r="KM99" s="7">
        <v>2089</v>
      </c>
      <c r="KN99" s="7">
        <v>2118</v>
      </c>
      <c r="KO99" s="7">
        <v>76</v>
      </c>
      <c r="KP99" s="7">
        <v>5016</v>
      </c>
      <c r="KQ99" s="7">
        <v>6798</v>
      </c>
      <c r="KR99" s="7">
        <v>2051</v>
      </c>
      <c r="KS99" s="7">
        <v>2051</v>
      </c>
      <c r="KT99" s="7">
        <v>421</v>
      </c>
      <c r="KU99" s="7">
        <v>134</v>
      </c>
      <c r="KV99" s="7">
        <v>323</v>
      </c>
      <c r="KW99" s="7">
        <v>0</v>
      </c>
      <c r="KX99" s="7">
        <v>403</v>
      </c>
      <c r="KY99" s="7">
        <v>125</v>
      </c>
      <c r="KZ99" s="7">
        <v>195</v>
      </c>
      <c r="LA99" s="7">
        <v>0</v>
      </c>
      <c r="LB99" s="7">
        <v>1060</v>
      </c>
      <c r="LC99" s="7">
        <v>971</v>
      </c>
      <c r="LD99" s="7">
        <v>1133</v>
      </c>
      <c r="LE99" s="7">
        <v>1946</v>
      </c>
      <c r="LF99" s="7">
        <v>6651</v>
      </c>
      <c r="LG99" s="7">
        <v>7</v>
      </c>
      <c r="LH99" s="7">
        <v>1241</v>
      </c>
      <c r="LI99" s="7">
        <v>223</v>
      </c>
      <c r="LJ99" s="7">
        <v>373</v>
      </c>
      <c r="LK99" s="7">
        <v>0</v>
      </c>
      <c r="LL99" s="7">
        <v>233</v>
      </c>
      <c r="LM99" s="7">
        <v>30</v>
      </c>
      <c r="LN99" s="7">
        <v>6</v>
      </c>
      <c r="LO99" s="7">
        <v>1081</v>
      </c>
      <c r="LP99" s="7">
        <v>141</v>
      </c>
      <c r="LQ99" s="7">
        <v>167</v>
      </c>
      <c r="LR99" s="7">
        <v>1</v>
      </c>
      <c r="LS99" s="7">
        <v>81</v>
      </c>
      <c r="LT99" s="7">
        <v>13</v>
      </c>
      <c r="LU99" s="232">
        <v>3.2863608931999999</v>
      </c>
      <c r="LV99" s="232">
        <v>4.1520000000000001</v>
      </c>
      <c r="LW99" s="232">
        <v>2.4535227946</v>
      </c>
      <c r="LX99" s="7">
        <v>2299</v>
      </c>
      <c r="LY99" s="7">
        <v>11984</v>
      </c>
    </row>
    <row r="100" spans="1:337" x14ac:dyDescent="0.25">
      <c r="A100" t="s">
        <v>202</v>
      </c>
      <c r="B100" t="s">
        <v>203</v>
      </c>
      <c r="C100" s="7">
        <v>15171</v>
      </c>
      <c r="D100">
        <v>17125</v>
      </c>
      <c r="F100">
        <f t="shared" si="6"/>
        <v>-17125</v>
      </c>
      <c r="G100">
        <f t="shared" si="7"/>
        <v>-100</v>
      </c>
      <c r="H100">
        <v>8527</v>
      </c>
      <c r="I100">
        <v>8598</v>
      </c>
      <c r="J100">
        <v>4863</v>
      </c>
      <c r="K100">
        <v>12262</v>
      </c>
      <c r="L100" s="7">
        <v>888</v>
      </c>
      <c r="M100" s="7">
        <v>892</v>
      </c>
      <c r="N100" s="7">
        <v>911</v>
      </c>
      <c r="O100" s="7">
        <v>922</v>
      </c>
      <c r="P100" s="7">
        <v>878</v>
      </c>
      <c r="Q100" s="7">
        <v>680</v>
      </c>
      <c r="R100" s="7">
        <v>592</v>
      </c>
      <c r="S100" s="7">
        <v>566</v>
      </c>
      <c r="T100" s="7">
        <v>470</v>
      </c>
      <c r="U100" s="7">
        <v>418</v>
      </c>
      <c r="V100" s="7">
        <v>290</v>
      </c>
      <c r="W100" s="7">
        <v>288</v>
      </c>
      <c r="X100" s="7">
        <v>216</v>
      </c>
      <c r="Y100" s="7">
        <v>516</v>
      </c>
      <c r="Z100" s="7">
        <v>11</v>
      </c>
      <c r="AA100" s="7">
        <v>859</v>
      </c>
      <c r="AB100" s="7">
        <v>808</v>
      </c>
      <c r="AC100" s="7">
        <v>905</v>
      </c>
      <c r="AD100" s="7">
        <v>1000</v>
      </c>
      <c r="AE100" s="7">
        <v>916</v>
      </c>
      <c r="AF100" s="7">
        <v>747</v>
      </c>
      <c r="AG100" s="7">
        <v>681</v>
      </c>
      <c r="AH100" s="7">
        <v>601</v>
      </c>
      <c r="AI100" s="7">
        <v>449</v>
      </c>
      <c r="AJ100" s="7">
        <v>429</v>
      </c>
      <c r="AK100" s="7">
        <v>305</v>
      </c>
      <c r="AL100" s="7">
        <v>245</v>
      </c>
      <c r="AM100" s="7">
        <v>188</v>
      </c>
      <c r="AN100" s="7">
        <v>451</v>
      </c>
      <c r="AO100" s="7">
        <v>14</v>
      </c>
      <c r="AP100">
        <v>17027</v>
      </c>
      <c r="AQ100">
        <v>37</v>
      </c>
      <c r="AR100">
        <v>6</v>
      </c>
      <c r="AS100">
        <v>2</v>
      </c>
      <c r="AT100">
        <v>53</v>
      </c>
      <c r="AU100" s="7">
        <v>993</v>
      </c>
      <c r="AV100" s="7">
        <v>519</v>
      </c>
      <c r="AW100" s="7">
        <v>474</v>
      </c>
      <c r="AX100" s="7">
        <v>1067</v>
      </c>
      <c r="AY100" s="7">
        <v>993</v>
      </c>
      <c r="AZ100" s="7">
        <v>983</v>
      </c>
      <c r="BA100" s="7">
        <v>10</v>
      </c>
      <c r="BB100" s="7">
        <v>20</v>
      </c>
      <c r="BC100" s="7">
        <v>18</v>
      </c>
      <c r="BD100" s="7">
        <v>45</v>
      </c>
      <c r="BE100" s="7">
        <v>45</v>
      </c>
      <c r="BF100" s="7">
        <v>53</v>
      </c>
      <c r="BG100" s="7">
        <v>40</v>
      </c>
      <c r="BH100" s="7">
        <v>51</v>
      </c>
      <c r="BI100" s="7">
        <v>43</v>
      </c>
      <c r="BJ100" s="7">
        <v>50</v>
      </c>
      <c r="BK100" s="7">
        <v>46</v>
      </c>
      <c r="BL100" s="7">
        <v>42</v>
      </c>
      <c r="BM100" s="7">
        <v>45</v>
      </c>
      <c r="BN100" s="7">
        <v>41</v>
      </c>
      <c r="BO100" s="7">
        <v>35</v>
      </c>
      <c r="BP100" s="7">
        <v>43</v>
      </c>
      <c r="BQ100" s="7">
        <v>42</v>
      </c>
      <c r="BR100" s="7">
        <v>29</v>
      </c>
      <c r="BS100" s="7">
        <v>32</v>
      </c>
      <c r="BT100" s="7">
        <v>30</v>
      </c>
      <c r="BU100" s="7">
        <v>27</v>
      </c>
      <c r="BV100" s="7">
        <v>22</v>
      </c>
      <c r="BW100" s="7">
        <v>33</v>
      </c>
      <c r="BX100" s="7">
        <v>32</v>
      </c>
      <c r="BY100" s="7">
        <v>19</v>
      </c>
      <c r="BZ100" s="7">
        <v>21</v>
      </c>
      <c r="CA100" s="7">
        <v>16</v>
      </c>
      <c r="CB100" s="7">
        <v>40</v>
      </c>
      <c r="CC100" s="7">
        <v>33</v>
      </c>
      <c r="CD100" s="7">
        <v>476</v>
      </c>
      <c r="CE100" s="7">
        <v>437</v>
      </c>
      <c r="CF100" s="7">
        <v>11</v>
      </c>
      <c r="CG100" s="7">
        <v>12</v>
      </c>
      <c r="CH100" s="7">
        <v>3598</v>
      </c>
      <c r="CI100" s="7">
        <v>561</v>
      </c>
      <c r="CJ100" s="7">
        <v>15229</v>
      </c>
      <c r="CK100" s="7">
        <v>1878</v>
      </c>
      <c r="CL100" s="7">
        <v>248</v>
      </c>
      <c r="CM100" s="7">
        <v>502</v>
      </c>
      <c r="CN100" s="7">
        <v>829</v>
      </c>
      <c r="CO100" s="7">
        <v>1061</v>
      </c>
      <c r="CP100" s="7">
        <v>770</v>
      </c>
      <c r="CQ100" s="7">
        <v>749</v>
      </c>
      <c r="CR100" s="7">
        <v>3373</v>
      </c>
      <c r="CS100" s="7">
        <v>7728</v>
      </c>
      <c r="CT100" s="7">
        <v>905</v>
      </c>
      <c r="CU100" s="7">
        <v>356</v>
      </c>
      <c r="CV100" s="7">
        <v>152</v>
      </c>
      <c r="CW100" s="7">
        <v>345</v>
      </c>
      <c r="CX100" s="7">
        <v>20</v>
      </c>
      <c r="CY100" s="7">
        <v>11740</v>
      </c>
      <c r="CZ100" s="7">
        <v>4722</v>
      </c>
      <c r="DA100" s="7">
        <v>64</v>
      </c>
      <c r="DB100" s="7">
        <v>248</v>
      </c>
      <c r="DC100" s="7">
        <v>2</v>
      </c>
      <c r="DD100" s="7">
        <v>4072</v>
      </c>
      <c r="DE100" s="7">
        <v>5096</v>
      </c>
      <c r="DF100" s="7">
        <v>3094</v>
      </c>
      <c r="DG100" s="7">
        <v>4863</v>
      </c>
      <c r="DH100" s="7">
        <v>0</v>
      </c>
      <c r="DI100" s="7">
        <v>0</v>
      </c>
      <c r="DJ100" s="7">
        <v>0</v>
      </c>
      <c r="DK100" s="7">
        <v>0</v>
      </c>
      <c r="DL100" s="7">
        <v>68</v>
      </c>
      <c r="DM100" s="7">
        <v>15</v>
      </c>
      <c r="DN100" s="7">
        <v>4</v>
      </c>
      <c r="DO100" s="7">
        <v>1</v>
      </c>
      <c r="DP100" s="7">
        <v>0</v>
      </c>
      <c r="DQ100" s="7">
        <v>0</v>
      </c>
      <c r="DR100" s="7">
        <v>0</v>
      </c>
      <c r="DS100" s="7">
        <v>0</v>
      </c>
      <c r="DT100" s="7">
        <v>106</v>
      </c>
      <c r="DU100" s="7">
        <v>103</v>
      </c>
      <c r="DV100" s="7">
        <v>49</v>
      </c>
      <c r="DW100" s="7">
        <v>43</v>
      </c>
      <c r="DX100" s="7">
        <v>17</v>
      </c>
      <c r="DY100" s="7">
        <v>13</v>
      </c>
      <c r="DZ100" s="7">
        <v>17</v>
      </c>
      <c r="EA100" s="7">
        <v>12</v>
      </c>
      <c r="EB100" s="7">
        <v>1</v>
      </c>
      <c r="EC100" s="7">
        <v>3</v>
      </c>
      <c r="ED100" s="7">
        <v>1</v>
      </c>
      <c r="EE100" s="7">
        <v>0</v>
      </c>
      <c r="EF100" s="7">
        <v>23</v>
      </c>
      <c r="EG100" s="7">
        <v>20</v>
      </c>
      <c r="EH100" s="7">
        <v>123</v>
      </c>
      <c r="EI100" s="7">
        <v>57</v>
      </c>
      <c r="EJ100" s="7">
        <v>21</v>
      </c>
      <c r="EK100" s="7">
        <v>16</v>
      </c>
      <c r="EL100" s="7">
        <v>4</v>
      </c>
      <c r="EM100" s="7">
        <v>0</v>
      </c>
      <c r="EN100" s="7">
        <v>24</v>
      </c>
      <c r="EO100" s="7">
        <v>5288</v>
      </c>
      <c r="EP100" s="7">
        <v>5199</v>
      </c>
      <c r="EQ100" s="7">
        <v>89</v>
      </c>
      <c r="ER100" s="7">
        <v>1054</v>
      </c>
      <c r="ES100" s="7">
        <v>772</v>
      </c>
      <c r="ET100" s="7">
        <v>768</v>
      </c>
      <c r="EU100" s="7">
        <v>4</v>
      </c>
      <c r="EV100" s="7">
        <v>5734</v>
      </c>
      <c r="EW100" s="134">
        <v>73.611342785999994</v>
      </c>
      <c r="EX100" s="134">
        <v>6.8390325270999996</v>
      </c>
      <c r="EY100" s="134">
        <v>7.4061718098</v>
      </c>
      <c r="EZ100" s="134">
        <v>11.009174312000001</v>
      </c>
      <c r="FA100" s="134">
        <v>1.1342785655000001</v>
      </c>
      <c r="FB100" s="7">
        <v>1258</v>
      </c>
      <c r="FC100" s="7">
        <v>3019</v>
      </c>
      <c r="FD100" s="7">
        <v>225</v>
      </c>
      <c r="FE100" s="7">
        <v>895</v>
      </c>
      <c r="FF100" s="7">
        <v>2</v>
      </c>
      <c r="FG100" s="7">
        <v>405</v>
      </c>
      <c r="FH100" s="7">
        <v>217</v>
      </c>
      <c r="FI100" s="134">
        <v>55.796497080999998</v>
      </c>
      <c r="FJ100" s="134">
        <v>28.206839033000001</v>
      </c>
      <c r="FK100" s="134">
        <v>7.6063386155000003</v>
      </c>
      <c r="FL100" s="134">
        <v>8.3903252711</v>
      </c>
      <c r="FM100" s="151">
        <v>4901</v>
      </c>
      <c r="FN100" s="151">
        <v>3597</v>
      </c>
      <c r="FO100" s="7">
        <v>1313</v>
      </c>
      <c r="FP100" s="7">
        <v>63</v>
      </c>
      <c r="FQ100" s="7">
        <v>16</v>
      </c>
      <c r="FR100" s="7">
        <v>5</v>
      </c>
      <c r="FS100" s="7">
        <v>3452</v>
      </c>
      <c r="FT100" s="7">
        <v>16</v>
      </c>
      <c r="FU100" s="7">
        <v>68</v>
      </c>
      <c r="FV100" s="7">
        <v>29</v>
      </c>
      <c r="FW100" s="7">
        <v>5228</v>
      </c>
      <c r="FX100" s="7">
        <v>3339</v>
      </c>
      <c r="FY100" s="7">
        <v>1357</v>
      </c>
      <c r="FZ100" s="7">
        <v>60</v>
      </c>
      <c r="GA100" s="7">
        <v>21</v>
      </c>
      <c r="GB100" s="7">
        <v>3</v>
      </c>
      <c r="GC100" s="7">
        <v>3714</v>
      </c>
      <c r="GD100" s="7">
        <v>23</v>
      </c>
      <c r="GE100" s="7">
        <v>94</v>
      </c>
      <c r="GF100" s="7">
        <v>31</v>
      </c>
      <c r="GG100" s="7">
        <v>496</v>
      </c>
      <c r="GH100" s="7">
        <v>527</v>
      </c>
      <c r="GI100" s="7">
        <v>543</v>
      </c>
      <c r="GJ100" s="7">
        <v>484</v>
      </c>
      <c r="GK100" s="7">
        <v>394</v>
      </c>
      <c r="GL100" s="7">
        <v>359</v>
      </c>
      <c r="GM100" s="7">
        <v>362</v>
      </c>
      <c r="GN100" s="7">
        <v>352</v>
      </c>
      <c r="GO100" s="7">
        <v>284</v>
      </c>
      <c r="GP100" s="7">
        <v>255</v>
      </c>
      <c r="GQ100" s="7">
        <v>181</v>
      </c>
      <c r="GR100" s="7">
        <v>178</v>
      </c>
      <c r="GS100" s="7">
        <v>147</v>
      </c>
      <c r="GT100" s="7">
        <v>105</v>
      </c>
      <c r="GU100" s="7">
        <v>100</v>
      </c>
      <c r="GV100" s="7">
        <v>64</v>
      </c>
      <c r="GW100" s="7">
        <v>36</v>
      </c>
      <c r="GX100" s="7">
        <v>33</v>
      </c>
      <c r="GY100" s="7">
        <v>479</v>
      </c>
      <c r="GZ100" s="7">
        <v>476</v>
      </c>
      <c r="HA100" s="7">
        <v>559</v>
      </c>
      <c r="HB100" s="7">
        <v>537</v>
      </c>
      <c r="HC100" s="7">
        <v>502</v>
      </c>
      <c r="HD100" s="7">
        <v>464</v>
      </c>
      <c r="HE100" s="7">
        <v>436</v>
      </c>
      <c r="HF100" s="7">
        <v>408</v>
      </c>
      <c r="HG100" s="7">
        <v>306</v>
      </c>
      <c r="HH100" s="7">
        <v>270</v>
      </c>
      <c r="HI100" s="7">
        <v>200</v>
      </c>
      <c r="HJ100" s="7">
        <v>165</v>
      </c>
      <c r="HK100" s="7">
        <v>131</v>
      </c>
      <c r="HL100" s="7">
        <v>115</v>
      </c>
      <c r="HM100" s="7">
        <v>83</v>
      </c>
      <c r="HN100" s="7">
        <v>49</v>
      </c>
      <c r="HO100" s="7">
        <v>22</v>
      </c>
      <c r="HP100" s="7">
        <v>25</v>
      </c>
      <c r="HQ100" s="7">
        <v>4139</v>
      </c>
      <c r="HR100" s="7">
        <v>0</v>
      </c>
      <c r="HS100" s="7">
        <v>0</v>
      </c>
      <c r="HT100" s="7">
        <v>0</v>
      </c>
      <c r="HU100" s="7">
        <v>0</v>
      </c>
      <c r="HV100" s="7">
        <v>0</v>
      </c>
      <c r="HW100" s="7">
        <v>0</v>
      </c>
      <c r="HX100" s="7">
        <v>26</v>
      </c>
      <c r="HY100" s="7">
        <v>248</v>
      </c>
      <c r="HZ100" s="7">
        <v>502</v>
      </c>
      <c r="IA100" s="7">
        <v>829</v>
      </c>
      <c r="IB100" s="7">
        <v>1061</v>
      </c>
      <c r="IC100" s="7">
        <v>770</v>
      </c>
      <c r="ID100" s="7">
        <v>376</v>
      </c>
      <c r="IE100" s="7">
        <v>188</v>
      </c>
      <c r="IF100" s="7">
        <v>89</v>
      </c>
      <c r="IG100" s="7">
        <v>96</v>
      </c>
      <c r="IH100" s="7">
        <v>385</v>
      </c>
      <c r="II100" s="7">
        <v>1217</v>
      </c>
      <c r="IJ100" s="7">
        <v>1280</v>
      </c>
      <c r="IK100" s="7">
        <v>810</v>
      </c>
      <c r="IL100" s="7">
        <v>310</v>
      </c>
      <c r="IM100" s="7">
        <v>91</v>
      </c>
      <c r="IN100" s="7">
        <v>27</v>
      </c>
      <c r="IO100" s="7">
        <v>9</v>
      </c>
      <c r="IP100" s="7">
        <v>12</v>
      </c>
      <c r="IQ100" s="7">
        <v>2024</v>
      </c>
      <c r="IR100" s="7">
        <v>1514</v>
      </c>
      <c r="IS100" s="7">
        <v>468</v>
      </c>
      <c r="IT100" s="7">
        <v>105</v>
      </c>
      <c r="IU100" s="7">
        <v>35</v>
      </c>
      <c r="IV100" s="7">
        <v>1892</v>
      </c>
      <c r="IW100" s="7">
        <v>1580</v>
      </c>
      <c r="IX100" s="7">
        <v>4</v>
      </c>
      <c r="IY100" s="7">
        <v>44</v>
      </c>
      <c r="IZ100" s="7">
        <v>70</v>
      </c>
      <c r="JA100" s="7">
        <v>549</v>
      </c>
      <c r="JB100" s="7">
        <v>1243</v>
      </c>
      <c r="JC100" s="7">
        <v>2564</v>
      </c>
      <c r="JD100" s="7">
        <v>32</v>
      </c>
      <c r="JE100" s="7">
        <v>0</v>
      </c>
      <c r="JF100" s="151">
        <v>3896.677273045535</v>
      </c>
      <c r="JG100" s="151">
        <v>244.81869315927463</v>
      </c>
      <c r="JH100" s="7">
        <v>346</v>
      </c>
      <c r="JI100" s="7">
        <v>3541</v>
      </c>
      <c r="JJ100" s="7">
        <v>233</v>
      </c>
      <c r="JK100" s="7">
        <v>39</v>
      </c>
      <c r="JL100" s="7">
        <v>2685</v>
      </c>
      <c r="JM100" s="7">
        <v>1918</v>
      </c>
      <c r="JN100" s="7">
        <v>690</v>
      </c>
      <c r="JO100" s="7">
        <v>2980</v>
      </c>
      <c r="JP100" s="7">
        <v>3536</v>
      </c>
      <c r="JQ100" s="7">
        <v>150</v>
      </c>
      <c r="JR100" s="7">
        <v>367</v>
      </c>
      <c r="JS100" s="7">
        <v>927</v>
      </c>
      <c r="JT100" s="7">
        <v>23</v>
      </c>
      <c r="JU100" s="151">
        <v>1021.0908751429529</v>
      </c>
      <c r="JV100" s="151">
        <v>2761.3214666365852</v>
      </c>
      <c r="JW100" s="151">
        <v>98.219217513750706</v>
      </c>
      <c r="JX100" s="151">
        <v>16.045713752246403</v>
      </c>
      <c r="JY100" s="7">
        <v>4050</v>
      </c>
      <c r="JZ100" s="7">
        <v>17034</v>
      </c>
      <c r="KA100" s="7">
        <v>0</v>
      </c>
      <c r="KB100" s="7">
        <v>0</v>
      </c>
      <c r="KC100" s="7">
        <v>0</v>
      </c>
      <c r="KD100" s="7">
        <v>0</v>
      </c>
      <c r="KE100" s="7">
        <v>0</v>
      </c>
      <c r="KF100" s="7">
        <v>0</v>
      </c>
      <c r="KG100" s="7">
        <v>91</v>
      </c>
      <c r="KH100" s="7">
        <v>1428</v>
      </c>
      <c r="KI100" s="7">
        <v>14611</v>
      </c>
      <c r="KJ100" s="7">
        <v>908</v>
      </c>
      <c r="KK100" s="7">
        <v>160</v>
      </c>
      <c r="KL100" s="7">
        <v>4200</v>
      </c>
      <c r="KM100" s="7">
        <v>11358</v>
      </c>
      <c r="KN100" s="7">
        <v>404</v>
      </c>
      <c r="KO100" s="7">
        <v>66</v>
      </c>
      <c r="KP100" s="7">
        <v>16028</v>
      </c>
      <c r="KQ100" s="7">
        <v>1007</v>
      </c>
      <c r="KR100" s="7">
        <v>2271</v>
      </c>
      <c r="KS100" s="7">
        <v>2271</v>
      </c>
      <c r="KT100" s="7">
        <v>472</v>
      </c>
      <c r="KU100" s="7">
        <v>126</v>
      </c>
      <c r="KV100" s="7">
        <v>364</v>
      </c>
      <c r="KW100" s="7">
        <v>2</v>
      </c>
      <c r="KX100" s="7">
        <v>446</v>
      </c>
      <c r="KY100" s="7">
        <v>117</v>
      </c>
      <c r="KZ100" s="7">
        <v>399</v>
      </c>
      <c r="LA100" s="7">
        <v>1</v>
      </c>
      <c r="LB100" s="7">
        <v>1286</v>
      </c>
      <c r="LC100" s="7">
        <v>1281</v>
      </c>
      <c r="LD100" s="7">
        <v>1190</v>
      </c>
      <c r="LE100" s="7">
        <v>1587</v>
      </c>
      <c r="LF100" s="7">
        <v>11837</v>
      </c>
      <c r="LG100" s="7">
        <v>30</v>
      </c>
      <c r="LH100" s="7">
        <v>2742</v>
      </c>
      <c r="LI100" s="7">
        <v>298</v>
      </c>
      <c r="LJ100" s="7">
        <v>836</v>
      </c>
      <c r="LK100" s="7">
        <v>3</v>
      </c>
      <c r="LL100" s="7">
        <v>458</v>
      </c>
      <c r="LM100" s="7">
        <v>179</v>
      </c>
      <c r="LN100" s="7">
        <v>24</v>
      </c>
      <c r="LO100" s="7">
        <v>2718</v>
      </c>
      <c r="LP100" s="7">
        <v>237</v>
      </c>
      <c r="LQ100" s="7">
        <v>898</v>
      </c>
      <c r="LR100" s="7">
        <v>2</v>
      </c>
      <c r="LS100" s="7">
        <v>437</v>
      </c>
      <c r="LT100" s="7">
        <v>146</v>
      </c>
      <c r="LU100" s="232">
        <v>4.9440403868000002</v>
      </c>
      <c r="LV100" s="232">
        <v>5.0871080139</v>
      </c>
      <c r="LW100" s="232">
        <v>4.8059525810999997</v>
      </c>
      <c r="LX100" s="7">
        <v>4159</v>
      </c>
      <c r="LY100" s="7">
        <v>17107</v>
      </c>
    </row>
    <row r="101" spans="1:337" x14ac:dyDescent="0.25">
      <c r="A101" t="s">
        <v>204</v>
      </c>
      <c r="B101" t="s">
        <v>205</v>
      </c>
      <c r="C101" s="7">
        <v>7784</v>
      </c>
      <c r="D101">
        <v>8065</v>
      </c>
      <c r="F101">
        <f t="shared" si="6"/>
        <v>-8065</v>
      </c>
      <c r="G101">
        <f t="shared" si="7"/>
        <v>-100</v>
      </c>
      <c r="H101">
        <v>4054</v>
      </c>
      <c r="I101">
        <v>4011</v>
      </c>
      <c r="J101">
        <v>0</v>
      </c>
      <c r="K101">
        <v>8065</v>
      </c>
      <c r="L101" s="7">
        <v>493</v>
      </c>
      <c r="M101" s="7">
        <v>472</v>
      </c>
      <c r="N101" s="7">
        <v>573</v>
      </c>
      <c r="O101" s="7">
        <v>447</v>
      </c>
      <c r="P101" s="7">
        <v>338</v>
      </c>
      <c r="Q101" s="7">
        <v>259</v>
      </c>
      <c r="R101" s="7">
        <v>264</v>
      </c>
      <c r="S101" s="7">
        <v>252</v>
      </c>
      <c r="T101" s="7">
        <v>175</v>
      </c>
      <c r="U101" s="7">
        <v>201</v>
      </c>
      <c r="V101" s="7">
        <v>144</v>
      </c>
      <c r="W101" s="7">
        <v>105</v>
      </c>
      <c r="X101" s="7">
        <v>101</v>
      </c>
      <c r="Y101" s="7">
        <v>230</v>
      </c>
      <c r="Z101" s="7">
        <v>0</v>
      </c>
      <c r="AA101" s="7">
        <v>423</v>
      </c>
      <c r="AB101" s="7">
        <v>487</v>
      </c>
      <c r="AC101" s="7">
        <v>527</v>
      </c>
      <c r="AD101" s="7">
        <v>478</v>
      </c>
      <c r="AE101" s="7">
        <v>372</v>
      </c>
      <c r="AF101" s="7">
        <v>261</v>
      </c>
      <c r="AG101" s="7">
        <v>267</v>
      </c>
      <c r="AH101" s="7">
        <v>280</v>
      </c>
      <c r="AI101" s="7">
        <v>208</v>
      </c>
      <c r="AJ101" s="7">
        <v>176</v>
      </c>
      <c r="AK101" s="7">
        <v>121</v>
      </c>
      <c r="AL101" s="7">
        <v>113</v>
      </c>
      <c r="AM101" s="7">
        <v>92</v>
      </c>
      <c r="AN101" s="7">
        <v>206</v>
      </c>
      <c r="AO101" s="7">
        <v>0</v>
      </c>
      <c r="AP101">
        <v>7977</v>
      </c>
      <c r="AQ101">
        <v>79</v>
      </c>
      <c r="AR101" t="s">
        <v>358</v>
      </c>
      <c r="AS101" t="s">
        <v>358</v>
      </c>
      <c r="AT101">
        <v>9</v>
      </c>
      <c r="AU101" s="7">
        <v>1122</v>
      </c>
      <c r="AV101" s="7">
        <v>580</v>
      </c>
      <c r="AW101" s="7">
        <v>542</v>
      </c>
      <c r="AX101" s="7">
        <v>1026</v>
      </c>
      <c r="AY101" s="7">
        <v>1122</v>
      </c>
      <c r="AZ101" s="7">
        <v>1122</v>
      </c>
      <c r="BA101" s="7">
        <v>0</v>
      </c>
      <c r="BB101" s="7">
        <v>14</v>
      </c>
      <c r="BC101" s="7">
        <v>17</v>
      </c>
      <c r="BD101" s="7">
        <v>50</v>
      </c>
      <c r="BE101" s="7">
        <v>55</v>
      </c>
      <c r="BF101" s="7">
        <v>65</v>
      </c>
      <c r="BG101" s="7">
        <v>63</v>
      </c>
      <c r="BH101" s="7">
        <v>53</v>
      </c>
      <c r="BI101" s="7">
        <v>58</v>
      </c>
      <c r="BJ101" s="7">
        <v>51</v>
      </c>
      <c r="BK101" s="7">
        <v>41</v>
      </c>
      <c r="BL101" s="7">
        <v>25</v>
      </c>
      <c r="BM101" s="7">
        <v>31</v>
      </c>
      <c r="BN101" s="7">
        <v>31</v>
      </c>
      <c r="BO101" s="7">
        <v>32</v>
      </c>
      <c r="BP101" s="7">
        <v>39</v>
      </c>
      <c r="BQ101" s="7">
        <v>45</v>
      </c>
      <c r="BR101" s="7">
        <v>26</v>
      </c>
      <c r="BS101" s="7">
        <v>30</v>
      </c>
      <c r="BT101" s="7">
        <v>46</v>
      </c>
      <c r="BU101" s="7">
        <v>34</v>
      </c>
      <c r="BV101" s="7">
        <v>37</v>
      </c>
      <c r="BW101" s="7">
        <v>26</v>
      </c>
      <c r="BX101" s="7">
        <v>36</v>
      </c>
      <c r="BY101" s="7">
        <v>25</v>
      </c>
      <c r="BZ101" s="7">
        <v>37</v>
      </c>
      <c r="CA101" s="7">
        <v>24</v>
      </c>
      <c r="CB101" s="7">
        <v>70</v>
      </c>
      <c r="CC101" s="7">
        <v>61</v>
      </c>
      <c r="CD101" s="7">
        <v>559</v>
      </c>
      <c r="CE101" s="7">
        <v>512</v>
      </c>
      <c r="CF101" s="7">
        <v>2</v>
      </c>
      <c r="CG101" s="7">
        <v>8</v>
      </c>
      <c r="CH101" s="7">
        <v>1472</v>
      </c>
      <c r="CI101" s="7">
        <v>250</v>
      </c>
      <c r="CJ101" s="7">
        <v>7195</v>
      </c>
      <c r="CK101" s="7">
        <v>870</v>
      </c>
      <c r="CL101" s="7">
        <v>101</v>
      </c>
      <c r="CM101" s="7">
        <v>208</v>
      </c>
      <c r="CN101" s="7">
        <v>278</v>
      </c>
      <c r="CO101" s="7">
        <v>299</v>
      </c>
      <c r="CP101" s="7">
        <v>288</v>
      </c>
      <c r="CQ101" s="7">
        <v>548</v>
      </c>
      <c r="CR101" s="7">
        <v>1384</v>
      </c>
      <c r="CS101" s="7">
        <v>4057</v>
      </c>
      <c r="CT101" s="7">
        <v>452</v>
      </c>
      <c r="CU101" s="7">
        <v>176</v>
      </c>
      <c r="CV101" s="7">
        <v>71</v>
      </c>
      <c r="CW101" s="7">
        <v>162</v>
      </c>
      <c r="CX101" s="7">
        <v>10</v>
      </c>
      <c r="CY101" s="7">
        <v>5127</v>
      </c>
      <c r="CZ101" s="7">
        <v>2630</v>
      </c>
      <c r="DA101" s="7">
        <v>31</v>
      </c>
      <c r="DB101" s="7">
        <v>101</v>
      </c>
      <c r="DC101" s="7">
        <v>5</v>
      </c>
      <c r="DD101" s="7">
        <v>2047</v>
      </c>
      <c r="DE101" s="7">
        <v>1439</v>
      </c>
      <c r="DF101" s="7">
        <v>4579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48</v>
      </c>
      <c r="DM101" s="7">
        <v>4</v>
      </c>
      <c r="DN101" s="7">
        <v>5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89</v>
      </c>
      <c r="DU101" s="7">
        <v>77</v>
      </c>
      <c r="DV101" s="7">
        <v>57</v>
      </c>
      <c r="DW101" s="7">
        <v>61</v>
      </c>
      <c r="DX101" s="7">
        <v>23</v>
      </c>
      <c r="DY101" s="7">
        <v>17</v>
      </c>
      <c r="DZ101" s="7">
        <v>14</v>
      </c>
      <c r="EA101" s="7">
        <v>15</v>
      </c>
      <c r="EB101" s="7">
        <v>6</v>
      </c>
      <c r="EC101" s="7">
        <v>8</v>
      </c>
      <c r="ED101" s="7">
        <v>2</v>
      </c>
      <c r="EE101" s="7">
        <v>4</v>
      </c>
      <c r="EF101" s="7">
        <v>26</v>
      </c>
      <c r="EG101" s="7">
        <v>11</v>
      </c>
      <c r="EH101" s="7">
        <v>138</v>
      </c>
      <c r="EI101" s="7">
        <v>99</v>
      </c>
      <c r="EJ101" s="7">
        <v>34</v>
      </c>
      <c r="EK101" s="7">
        <v>25</v>
      </c>
      <c r="EL101" s="7">
        <v>12</v>
      </c>
      <c r="EM101" s="7">
        <v>4</v>
      </c>
      <c r="EN101" s="7">
        <v>27</v>
      </c>
      <c r="EO101" s="7">
        <v>2094</v>
      </c>
      <c r="EP101" s="7">
        <v>2054</v>
      </c>
      <c r="EQ101" s="7">
        <v>40</v>
      </c>
      <c r="ER101" s="7">
        <v>711</v>
      </c>
      <c r="ES101" s="7">
        <v>240</v>
      </c>
      <c r="ET101" s="7">
        <v>236</v>
      </c>
      <c r="EU101" s="7">
        <v>4</v>
      </c>
      <c r="EV101" s="7">
        <v>2615</v>
      </c>
      <c r="EW101" s="134">
        <v>65.676567657000007</v>
      </c>
      <c r="EX101" s="134">
        <v>11.798679868000001</v>
      </c>
      <c r="EY101" s="134">
        <v>6.0231023101999996</v>
      </c>
      <c r="EZ101" s="134">
        <v>15.099009901000001</v>
      </c>
      <c r="FA101" s="134">
        <v>1.402640264</v>
      </c>
      <c r="FB101" s="7">
        <v>344</v>
      </c>
      <c r="FC101" s="7">
        <v>1070</v>
      </c>
      <c r="FD101" s="7">
        <v>75</v>
      </c>
      <c r="FE101" s="7">
        <v>393</v>
      </c>
      <c r="FF101" s="7">
        <v>5</v>
      </c>
      <c r="FG101" s="7">
        <v>291</v>
      </c>
      <c r="FH101" s="7">
        <v>152</v>
      </c>
      <c r="FI101" s="134">
        <v>33.374587458999997</v>
      </c>
      <c r="FJ101" s="134">
        <v>44.018151815000003</v>
      </c>
      <c r="FK101" s="134">
        <v>14.191419142000001</v>
      </c>
      <c r="FL101" s="134">
        <v>8.4158415842000007</v>
      </c>
      <c r="FM101" s="151">
        <v>3214</v>
      </c>
      <c r="FN101" s="151">
        <v>834</v>
      </c>
      <c r="FO101" s="7">
        <v>119</v>
      </c>
      <c r="FP101" s="7">
        <v>35</v>
      </c>
      <c r="FQ101" s="7">
        <v>16</v>
      </c>
      <c r="FR101" s="7">
        <v>0</v>
      </c>
      <c r="FS101" s="7">
        <v>3018</v>
      </c>
      <c r="FT101" s="7">
        <v>25</v>
      </c>
      <c r="FU101" s="7">
        <v>6</v>
      </c>
      <c r="FV101" s="7">
        <v>6</v>
      </c>
      <c r="FW101" s="7">
        <v>3376</v>
      </c>
      <c r="FX101" s="7">
        <v>630</v>
      </c>
      <c r="FY101" s="7">
        <v>114</v>
      </c>
      <c r="FZ101" s="7">
        <v>41</v>
      </c>
      <c r="GA101" s="7">
        <v>19</v>
      </c>
      <c r="GB101" s="7">
        <v>3</v>
      </c>
      <c r="GC101" s="7">
        <v>3184</v>
      </c>
      <c r="GD101" s="7">
        <v>13</v>
      </c>
      <c r="GE101" s="7">
        <v>5</v>
      </c>
      <c r="GF101" s="7">
        <v>5</v>
      </c>
      <c r="GG101" s="7">
        <v>383</v>
      </c>
      <c r="GH101" s="7">
        <v>405</v>
      </c>
      <c r="GI101" s="7">
        <v>490</v>
      </c>
      <c r="GJ101" s="7">
        <v>348</v>
      </c>
      <c r="GK101" s="7">
        <v>203</v>
      </c>
      <c r="GL101" s="7">
        <v>180</v>
      </c>
      <c r="GM101" s="7">
        <v>209</v>
      </c>
      <c r="GN101" s="7">
        <v>203</v>
      </c>
      <c r="GO101" s="7">
        <v>141</v>
      </c>
      <c r="GP101" s="7">
        <v>174</v>
      </c>
      <c r="GQ101" s="7">
        <v>122</v>
      </c>
      <c r="GR101" s="7">
        <v>94</v>
      </c>
      <c r="GS101" s="7">
        <v>74</v>
      </c>
      <c r="GT101" s="7">
        <v>56</v>
      </c>
      <c r="GU101" s="7">
        <v>53</v>
      </c>
      <c r="GV101" s="7">
        <v>34</v>
      </c>
      <c r="GW101" s="7">
        <v>28</v>
      </c>
      <c r="GX101" s="7">
        <v>17</v>
      </c>
      <c r="GY101" s="7">
        <v>316</v>
      </c>
      <c r="GZ101" s="7">
        <v>420</v>
      </c>
      <c r="HA101" s="7">
        <v>478</v>
      </c>
      <c r="HB101" s="7">
        <v>389</v>
      </c>
      <c r="HC101" s="7">
        <v>284</v>
      </c>
      <c r="HD101" s="7">
        <v>217</v>
      </c>
      <c r="HE101" s="7">
        <v>232</v>
      </c>
      <c r="HF101" s="7">
        <v>244</v>
      </c>
      <c r="HG101" s="7">
        <v>182</v>
      </c>
      <c r="HH101" s="7">
        <v>151</v>
      </c>
      <c r="HI101" s="7">
        <v>110</v>
      </c>
      <c r="HJ101" s="7">
        <v>97</v>
      </c>
      <c r="HK101" s="7">
        <v>82</v>
      </c>
      <c r="HL101" s="7">
        <v>72</v>
      </c>
      <c r="HM101" s="7">
        <v>45</v>
      </c>
      <c r="HN101" s="7">
        <v>20</v>
      </c>
      <c r="HO101" s="7">
        <v>20</v>
      </c>
      <c r="HP101" s="7">
        <v>17</v>
      </c>
      <c r="HQ101" s="7">
        <v>1710</v>
      </c>
      <c r="HR101" s="7">
        <v>1</v>
      </c>
      <c r="HS101" s="7">
        <v>0</v>
      </c>
      <c r="HT101" s="7">
        <v>0</v>
      </c>
      <c r="HU101" s="7">
        <v>0</v>
      </c>
      <c r="HV101" s="7">
        <v>0</v>
      </c>
      <c r="HW101" s="7">
        <v>0</v>
      </c>
      <c r="HX101" s="7">
        <v>11</v>
      </c>
      <c r="HY101" s="7">
        <v>101</v>
      </c>
      <c r="HZ101" s="7">
        <v>208</v>
      </c>
      <c r="IA101" s="7">
        <v>278</v>
      </c>
      <c r="IB101" s="7">
        <v>299</v>
      </c>
      <c r="IC101" s="7">
        <v>288</v>
      </c>
      <c r="ID101" s="7">
        <v>205</v>
      </c>
      <c r="IE101" s="7">
        <v>147</v>
      </c>
      <c r="IF101" s="7">
        <v>86</v>
      </c>
      <c r="IG101" s="7">
        <v>110</v>
      </c>
      <c r="IH101" s="7">
        <v>91</v>
      </c>
      <c r="II101" s="7">
        <v>459</v>
      </c>
      <c r="IJ101" s="7">
        <v>580</v>
      </c>
      <c r="IK101" s="7">
        <v>355</v>
      </c>
      <c r="IL101" s="7">
        <v>142</v>
      </c>
      <c r="IM101" s="7">
        <v>49</v>
      </c>
      <c r="IN101" s="7">
        <v>10</v>
      </c>
      <c r="IO101" s="7">
        <v>3</v>
      </c>
      <c r="IP101" s="7">
        <v>2</v>
      </c>
      <c r="IQ101" s="7">
        <v>821</v>
      </c>
      <c r="IR101" s="7">
        <v>620</v>
      </c>
      <c r="IS101" s="7">
        <v>198</v>
      </c>
      <c r="IT101" s="7">
        <v>59</v>
      </c>
      <c r="IU101" s="7">
        <v>12</v>
      </c>
      <c r="IV101" s="7">
        <v>980</v>
      </c>
      <c r="IW101" s="7">
        <v>574</v>
      </c>
      <c r="IX101" s="7">
        <v>2</v>
      </c>
      <c r="IY101" s="7">
        <v>7</v>
      </c>
      <c r="IZ101" s="7">
        <v>0</v>
      </c>
      <c r="JA101" s="7">
        <v>145</v>
      </c>
      <c r="JB101" s="7">
        <v>970</v>
      </c>
      <c r="JC101" s="7">
        <v>245</v>
      </c>
      <c r="JD101" s="7">
        <v>197</v>
      </c>
      <c r="JE101" s="7">
        <v>225</v>
      </c>
      <c r="JF101" s="151">
        <v>1638.9424337483783</v>
      </c>
      <c r="JG101" s="151">
        <v>74.516793822066717</v>
      </c>
      <c r="JH101" s="7">
        <v>121</v>
      </c>
      <c r="JI101" s="7">
        <v>1559</v>
      </c>
      <c r="JJ101" s="7">
        <v>26</v>
      </c>
      <c r="JK101" s="7">
        <v>16</v>
      </c>
      <c r="JL101" s="7">
        <v>865</v>
      </c>
      <c r="JM101" s="7">
        <v>323</v>
      </c>
      <c r="JN101" s="7">
        <v>96</v>
      </c>
      <c r="JO101" s="7">
        <v>957</v>
      </c>
      <c r="JP101" s="7">
        <v>1187</v>
      </c>
      <c r="JQ101" s="7">
        <v>58</v>
      </c>
      <c r="JR101" s="7">
        <v>67</v>
      </c>
      <c r="JS101" s="7">
        <v>98</v>
      </c>
      <c r="JT101" s="7">
        <v>20</v>
      </c>
      <c r="JU101" s="151">
        <v>121.49013090187954</v>
      </c>
      <c r="JV101" s="151">
        <v>1477.7384814972027</v>
      </c>
      <c r="JW101" s="151">
        <v>31.600244944601357</v>
      </c>
      <c r="JX101" s="151">
        <v>8.1135764046949426</v>
      </c>
      <c r="JY101" s="7">
        <v>1659</v>
      </c>
      <c r="JZ101" s="7">
        <v>8010</v>
      </c>
      <c r="KA101" s="7">
        <v>3</v>
      </c>
      <c r="KB101" s="7">
        <v>0</v>
      </c>
      <c r="KC101" s="7">
        <v>0</v>
      </c>
      <c r="KD101" s="7">
        <v>0</v>
      </c>
      <c r="KE101" s="7">
        <v>0</v>
      </c>
      <c r="KF101" s="7">
        <v>0</v>
      </c>
      <c r="KG101" s="7">
        <v>52</v>
      </c>
      <c r="KH101" s="7">
        <v>518</v>
      </c>
      <c r="KI101" s="7">
        <v>7357</v>
      </c>
      <c r="KJ101" s="7">
        <v>119</v>
      </c>
      <c r="KK101" s="7">
        <v>71</v>
      </c>
      <c r="KL101" s="7">
        <v>569</v>
      </c>
      <c r="KM101" s="7">
        <v>6921</v>
      </c>
      <c r="KN101" s="7">
        <v>148</v>
      </c>
      <c r="KO101" s="7">
        <v>38</v>
      </c>
      <c r="KP101" s="7">
        <v>7676</v>
      </c>
      <c r="KQ101" s="7">
        <v>349</v>
      </c>
      <c r="KR101" s="7">
        <v>1360</v>
      </c>
      <c r="KS101" s="7">
        <v>1360</v>
      </c>
      <c r="KT101" s="7">
        <v>269</v>
      </c>
      <c r="KU101" s="7">
        <v>91</v>
      </c>
      <c r="KV101" s="7">
        <v>197</v>
      </c>
      <c r="KW101" s="7">
        <v>0</v>
      </c>
      <c r="KX101" s="7">
        <v>250</v>
      </c>
      <c r="KY101" s="7">
        <v>73</v>
      </c>
      <c r="KZ101" s="7">
        <v>222</v>
      </c>
      <c r="LA101" s="7">
        <v>2</v>
      </c>
      <c r="LB101" s="7">
        <v>756</v>
      </c>
      <c r="LC101" s="7">
        <v>765</v>
      </c>
      <c r="LD101" s="7">
        <v>302</v>
      </c>
      <c r="LE101" s="7">
        <v>541</v>
      </c>
      <c r="LF101" s="7">
        <v>5090</v>
      </c>
      <c r="LG101" s="7">
        <v>12</v>
      </c>
      <c r="LH101" s="7">
        <v>1067</v>
      </c>
      <c r="LI101" s="7">
        <v>126</v>
      </c>
      <c r="LJ101" s="7">
        <v>392</v>
      </c>
      <c r="LK101" s="7">
        <v>1</v>
      </c>
      <c r="LL101" s="7">
        <v>380</v>
      </c>
      <c r="LM101" s="7">
        <v>143</v>
      </c>
      <c r="LN101" s="7">
        <v>6</v>
      </c>
      <c r="LO101" s="7">
        <v>1013</v>
      </c>
      <c r="LP101" s="7">
        <v>127</v>
      </c>
      <c r="LQ101" s="7">
        <v>371</v>
      </c>
      <c r="LR101" s="7">
        <v>4</v>
      </c>
      <c r="LS101" s="7">
        <v>348</v>
      </c>
      <c r="LT101" s="7">
        <v>112</v>
      </c>
      <c r="LU101" s="232">
        <v>5.8639415481999997</v>
      </c>
      <c r="LV101" s="232">
        <v>6.1483406637</v>
      </c>
      <c r="LW101" s="232">
        <v>5.5864221614999998</v>
      </c>
      <c r="LX101" s="7">
        <v>1722</v>
      </c>
      <c r="LY101" s="7">
        <v>8065</v>
      </c>
    </row>
    <row r="102" spans="1:337" x14ac:dyDescent="0.25">
      <c r="A102" t="s">
        <v>206</v>
      </c>
      <c r="B102" t="s">
        <v>207</v>
      </c>
      <c r="C102" s="7">
        <v>7767</v>
      </c>
      <c r="D102">
        <v>9740</v>
      </c>
      <c r="F102">
        <f t="shared" si="6"/>
        <v>-9740</v>
      </c>
      <c r="G102">
        <f t="shared" si="7"/>
        <v>-100</v>
      </c>
      <c r="H102">
        <v>4887</v>
      </c>
      <c r="I102">
        <v>4853</v>
      </c>
      <c r="J102">
        <v>7332</v>
      </c>
      <c r="K102">
        <v>2408</v>
      </c>
      <c r="L102" s="7">
        <v>558</v>
      </c>
      <c r="M102" s="7">
        <v>573</v>
      </c>
      <c r="N102" s="7">
        <v>615</v>
      </c>
      <c r="O102" s="7">
        <v>533</v>
      </c>
      <c r="P102" s="7">
        <v>449</v>
      </c>
      <c r="Q102" s="7">
        <v>395</v>
      </c>
      <c r="R102" s="7">
        <v>366</v>
      </c>
      <c r="S102" s="7">
        <v>301</v>
      </c>
      <c r="T102" s="7">
        <v>263</v>
      </c>
      <c r="U102" s="7">
        <v>170</v>
      </c>
      <c r="V102" s="7">
        <v>166</v>
      </c>
      <c r="W102" s="7">
        <v>136</v>
      </c>
      <c r="X102" s="7">
        <v>121</v>
      </c>
      <c r="Y102" s="7">
        <v>237</v>
      </c>
      <c r="Z102" s="7">
        <v>4</v>
      </c>
      <c r="AA102" s="7">
        <v>570</v>
      </c>
      <c r="AB102" s="7">
        <v>579</v>
      </c>
      <c r="AC102" s="7">
        <v>534</v>
      </c>
      <c r="AD102" s="7">
        <v>574</v>
      </c>
      <c r="AE102" s="7">
        <v>506</v>
      </c>
      <c r="AF102" s="7">
        <v>414</v>
      </c>
      <c r="AG102" s="7">
        <v>361</v>
      </c>
      <c r="AH102" s="7">
        <v>286</v>
      </c>
      <c r="AI102" s="7">
        <v>239</v>
      </c>
      <c r="AJ102" s="7">
        <v>167</v>
      </c>
      <c r="AK102" s="7">
        <v>180</v>
      </c>
      <c r="AL102" s="7">
        <v>129</v>
      </c>
      <c r="AM102" s="7">
        <v>107</v>
      </c>
      <c r="AN102" s="7">
        <v>204</v>
      </c>
      <c r="AO102" s="7">
        <v>3</v>
      </c>
      <c r="AP102">
        <v>9674</v>
      </c>
      <c r="AQ102">
        <v>26</v>
      </c>
      <c r="AR102">
        <v>4</v>
      </c>
      <c r="AS102" t="s">
        <v>358</v>
      </c>
      <c r="AT102">
        <v>36</v>
      </c>
      <c r="AU102" s="7">
        <v>2691</v>
      </c>
      <c r="AV102" s="7">
        <v>1393</v>
      </c>
      <c r="AW102" s="7">
        <v>1298</v>
      </c>
      <c r="AX102" s="7">
        <v>2044</v>
      </c>
      <c r="AY102" s="7">
        <v>2691</v>
      </c>
      <c r="AZ102" s="7">
        <v>1761</v>
      </c>
      <c r="BA102" s="7">
        <v>930</v>
      </c>
      <c r="BB102" s="7">
        <v>50</v>
      </c>
      <c r="BC102" s="7">
        <v>52</v>
      </c>
      <c r="BD102" s="7">
        <v>155</v>
      </c>
      <c r="BE102" s="7">
        <v>154</v>
      </c>
      <c r="BF102" s="7">
        <v>181</v>
      </c>
      <c r="BG102" s="7">
        <v>161</v>
      </c>
      <c r="BH102" s="7">
        <v>143</v>
      </c>
      <c r="BI102" s="7">
        <v>166</v>
      </c>
      <c r="BJ102" s="7">
        <v>154</v>
      </c>
      <c r="BK102" s="7">
        <v>139</v>
      </c>
      <c r="BL102" s="7">
        <v>129</v>
      </c>
      <c r="BM102" s="7">
        <v>119</v>
      </c>
      <c r="BN102" s="7">
        <v>128</v>
      </c>
      <c r="BO102" s="7">
        <v>101</v>
      </c>
      <c r="BP102" s="7">
        <v>111</v>
      </c>
      <c r="BQ102" s="7">
        <v>90</v>
      </c>
      <c r="BR102" s="7">
        <v>95</v>
      </c>
      <c r="BS102" s="7">
        <v>76</v>
      </c>
      <c r="BT102" s="7">
        <v>48</v>
      </c>
      <c r="BU102" s="7">
        <v>60</v>
      </c>
      <c r="BV102" s="7">
        <v>49</v>
      </c>
      <c r="BW102" s="7">
        <v>65</v>
      </c>
      <c r="BX102" s="7">
        <v>50</v>
      </c>
      <c r="BY102" s="7">
        <v>40</v>
      </c>
      <c r="BZ102" s="7">
        <v>36</v>
      </c>
      <c r="CA102" s="7">
        <v>30</v>
      </c>
      <c r="CB102" s="7">
        <v>64</v>
      </c>
      <c r="CC102" s="7">
        <v>45</v>
      </c>
      <c r="CD102" s="7">
        <v>1351</v>
      </c>
      <c r="CE102" s="7">
        <v>1239</v>
      </c>
      <c r="CF102" s="7">
        <v>26</v>
      </c>
      <c r="CG102" s="7">
        <v>35</v>
      </c>
      <c r="CH102" s="7">
        <v>1869</v>
      </c>
      <c r="CI102" s="7">
        <v>311</v>
      </c>
      <c r="CJ102" s="7">
        <v>8649</v>
      </c>
      <c r="CK102" s="7">
        <v>1085</v>
      </c>
      <c r="CL102" s="7">
        <v>124</v>
      </c>
      <c r="CM102" s="7">
        <v>243</v>
      </c>
      <c r="CN102" s="7">
        <v>362</v>
      </c>
      <c r="CO102" s="7">
        <v>446</v>
      </c>
      <c r="CP102" s="7">
        <v>461</v>
      </c>
      <c r="CQ102" s="7">
        <v>544</v>
      </c>
      <c r="CR102" s="7">
        <v>1845</v>
      </c>
      <c r="CS102" s="7">
        <v>4824</v>
      </c>
      <c r="CT102" s="7">
        <v>369</v>
      </c>
      <c r="CU102" s="7">
        <v>191</v>
      </c>
      <c r="CV102" s="7">
        <v>58</v>
      </c>
      <c r="CW102" s="7">
        <v>228</v>
      </c>
      <c r="CX102" s="7">
        <v>4</v>
      </c>
      <c r="CY102" s="7">
        <v>7004</v>
      </c>
      <c r="CZ102" s="7">
        <v>2418</v>
      </c>
      <c r="DA102" s="7">
        <v>9</v>
      </c>
      <c r="DB102" s="7">
        <v>124</v>
      </c>
      <c r="DC102" s="7">
        <v>2</v>
      </c>
      <c r="DD102" s="7">
        <v>784</v>
      </c>
      <c r="DE102" s="7">
        <v>356</v>
      </c>
      <c r="DF102" s="7">
        <v>1268</v>
      </c>
      <c r="DG102" s="7">
        <v>7332</v>
      </c>
      <c r="DH102" s="7">
        <v>0</v>
      </c>
      <c r="DI102" s="7">
        <v>0</v>
      </c>
      <c r="DJ102" s="7">
        <v>0</v>
      </c>
      <c r="DK102" s="7">
        <v>0</v>
      </c>
      <c r="DL102" s="7">
        <v>13</v>
      </c>
      <c r="DM102" s="7">
        <v>1</v>
      </c>
      <c r="DN102" s="7">
        <v>2</v>
      </c>
      <c r="DO102" s="7">
        <v>2</v>
      </c>
      <c r="DP102" s="7">
        <v>0</v>
      </c>
      <c r="DQ102" s="7">
        <v>0</v>
      </c>
      <c r="DR102" s="7">
        <v>0</v>
      </c>
      <c r="DS102" s="7">
        <v>0</v>
      </c>
      <c r="DT102" s="7">
        <v>51</v>
      </c>
      <c r="DU102" s="7">
        <v>53</v>
      </c>
      <c r="DV102" s="7">
        <v>26</v>
      </c>
      <c r="DW102" s="7">
        <v>22</v>
      </c>
      <c r="DX102" s="7">
        <v>10</v>
      </c>
      <c r="DY102" s="7">
        <v>13</v>
      </c>
      <c r="DZ102" s="7">
        <v>15</v>
      </c>
      <c r="EA102" s="7">
        <v>10</v>
      </c>
      <c r="EB102" s="7">
        <v>2</v>
      </c>
      <c r="EC102" s="7">
        <v>2</v>
      </c>
      <c r="ED102" s="7">
        <v>0</v>
      </c>
      <c r="EE102" s="7">
        <v>2</v>
      </c>
      <c r="EF102" s="7">
        <v>8</v>
      </c>
      <c r="EG102" s="7">
        <v>7</v>
      </c>
      <c r="EH102" s="7">
        <v>84</v>
      </c>
      <c r="EI102" s="7">
        <v>44</v>
      </c>
      <c r="EJ102" s="7">
        <v>22</v>
      </c>
      <c r="EK102" s="7">
        <v>18</v>
      </c>
      <c r="EL102" s="7">
        <v>3</v>
      </c>
      <c r="EM102" s="7">
        <v>2</v>
      </c>
      <c r="EN102" s="7">
        <v>11</v>
      </c>
      <c r="EO102" s="7">
        <v>2733</v>
      </c>
      <c r="EP102" s="7">
        <v>2646</v>
      </c>
      <c r="EQ102" s="7">
        <v>87</v>
      </c>
      <c r="ER102" s="7">
        <v>740</v>
      </c>
      <c r="ES102" s="7">
        <v>418</v>
      </c>
      <c r="ET102" s="7">
        <v>408</v>
      </c>
      <c r="EU102" s="7">
        <v>10</v>
      </c>
      <c r="EV102" s="7">
        <v>3051</v>
      </c>
      <c r="EW102" s="134">
        <v>54.162276079999998</v>
      </c>
      <c r="EX102" s="134">
        <v>23.182297155000001</v>
      </c>
      <c r="EY102" s="134">
        <v>5.3740779767999998</v>
      </c>
      <c r="EZ102" s="134">
        <v>16.12223393</v>
      </c>
      <c r="FA102" s="134">
        <v>1.1591148576999999</v>
      </c>
      <c r="FB102" s="7">
        <v>498</v>
      </c>
      <c r="FC102" s="7">
        <v>1466</v>
      </c>
      <c r="FD102" s="7">
        <v>87</v>
      </c>
      <c r="FE102" s="7">
        <v>706</v>
      </c>
      <c r="FF102" s="7">
        <v>7</v>
      </c>
      <c r="FG102" s="7">
        <v>253</v>
      </c>
      <c r="FH102" s="7">
        <v>127</v>
      </c>
      <c r="FI102" s="134">
        <v>60.800842993000003</v>
      </c>
      <c r="FJ102" s="134">
        <v>18.22971549</v>
      </c>
      <c r="FK102" s="134">
        <v>17.913593255999999</v>
      </c>
      <c r="FL102" s="134">
        <v>3.0558482613</v>
      </c>
      <c r="FM102" s="151">
        <v>4199</v>
      </c>
      <c r="FN102" s="151">
        <v>670</v>
      </c>
      <c r="FO102" s="7">
        <v>564</v>
      </c>
      <c r="FP102" s="7">
        <v>44</v>
      </c>
      <c r="FQ102" s="7">
        <v>20</v>
      </c>
      <c r="FR102" s="7">
        <v>2</v>
      </c>
      <c r="FS102" s="7">
        <v>3495</v>
      </c>
      <c r="FT102" s="7">
        <v>54</v>
      </c>
      <c r="FU102" s="7">
        <v>35</v>
      </c>
      <c r="FV102" s="7">
        <v>18</v>
      </c>
      <c r="FW102" s="7">
        <v>4286</v>
      </c>
      <c r="FX102" s="7">
        <v>549</v>
      </c>
      <c r="FY102" s="7">
        <v>547</v>
      </c>
      <c r="FZ102" s="7">
        <v>59</v>
      </c>
      <c r="GA102" s="7">
        <v>21</v>
      </c>
      <c r="GB102" s="7">
        <v>2</v>
      </c>
      <c r="GC102" s="7">
        <v>3591</v>
      </c>
      <c r="GD102" s="7">
        <v>52</v>
      </c>
      <c r="GE102" s="7">
        <v>24</v>
      </c>
      <c r="GF102" s="7">
        <v>18</v>
      </c>
      <c r="GG102" s="7">
        <v>462</v>
      </c>
      <c r="GH102" s="7">
        <v>528</v>
      </c>
      <c r="GI102" s="7">
        <v>561</v>
      </c>
      <c r="GJ102" s="7">
        <v>447</v>
      </c>
      <c r="GK102" s="7">
        <v>352</v>
      </c>
      <c r="GL102" s="7">
        <v>327</v>
      </c>
      <c r="GM102" s="7">
        <v>322</v>
      </c>
      <c r="GN102" s="7">
        <v>268</v>
      </c>
      <c r="GO102" s="7">
        <v>223</v>
      </c>
      <c r="GP102" s="7">
        <v>152</v>
      </c>
      <c r="GQ102" s="7">
        <v>145</v>
      </c>
      <c r="GR102" s="7">
        <v>107</v>
      </c>
      <c r="GS102" s="7">
        <v>101</v>
      </c>
      <c r="GT102" s="7">
        <v>72</v>
      </c>
      <c r="GU102" s="7">
        <v>58</v>
      </c>
      <c r="GV102" s="7">
        <v>48</v>
      </c>
      <c r="GW102" s="7">
        <v>11</v>
      </c>
      <c r="GX102" s="7">
        <v>14</v>
      </c>
      <c r="GY102" s="7">
        <v>466</v>
      </c>
      <c r="GZ102" s="7">
        <v>523</v>
      </c>
      <c r="HA102" s="7">
        <v>482</v>
      </c>
      <c r="HB102" s="7">
        <v>485</v>
      </c>
      <c r="HC102" s="7">
        <v>431</v>
      </c>
      <c r="HD102" s="7">
        <v>377</v>
      </c>
      <c r="HE102" s="7">
        <v>321</v>
      </c>
      <c r="HF102" s="7">
        <v>262</v>
      </c>
      <c r="HG102" s="7">
        <v>228</v>
      </c>
      <c r="HH102" s="7">
        <v>146</v>
      </c>
      <c r="HI102" s="7">
        <v>161</v>
      </c>
      <c r="HJ102" s="7">
        <v>119</v>
      </c>
      <c r="HK102" s="7">
        <v>98</v>
      </c>
      <c r="HL102" s="7">
        <v>65</v>
      </c>
      <c r="HM102" s="7">
        <v>56</v>
      </c>
      <c r="HN102" s="7">
        <v>32</v>
      </c>
      <c r="HO102" s="7">
        <v>13</v>
      </c>
      <c r="HP102" s="7">
        <v>21</v>
      </c>
      <c r="HQ102" s="7">
        <v>2169</v>
      </c>
      <c r="HR102" s="7">
        <v>0</v>
      </c>
      <c r="HS102" s="7">
        <v>0</v>
      </c>
      <c r="HT102" s="7">
        <v>0</v>
      </c>
      <c r="HU102" s="7">
        <v>0</v>
      </c>
      <c r="HV102" s="7">
        <v>0</v>
      </c>
      <c r="HW102" s="7">
        <v>0</v>
      </c>
      <c r="HX102" s="7">
        <v>13</v>
      </c>
      <c r="HY102" s="7">
        <v>124</v>
      </c>
      <c r="HZ102" s="7">
        <v>243</v>
      </c>
      <c r="IA102" s="7">
        <v>362</v>
      </c>
      <c r="IB102" s="7">
        <v>446</v>
      </c>
      <c r="IC102" s="7">
        <v>461</v>
      </c>
      <c r="ID102" s="7">
        <v>257</v>
      </c>
      <c r="IE102" s="7">
        <v>114</v>
      </c>
      <c r="IF102" s="7">
        <v>71</v>
      </c>
      <c r="IG102" s="7">
        <v>102</v>
      </c>
      <c r="IH102" s="7">
        <v>203</v>
      </c>
      <c r="II102" s="7">
        <v>732</v>
      </c>
      <c r="IJ102" s="7">
        <v>646</v>
      </c>
      <c r="IK102" s="7">
        <v>410</v>
      </c>
      <c r="IL102" s="7">
        <v>125</v>
      </c>
      <c r="IM102" s="7">
        <v>29</v>
      </c>
      <c r="IN102" s="7">
        <v>4</v>
      </c>
      <c r="IO102" s="7">
        <v>2</v>
      </c>
      <c r="IP102" s="7">
        <v>2</v>
      </c>
      <c r="IQ102" s="7">
        <v>1030</v>
      </c>
      <c r="IR102" s="7">
        <v>780</v>
      </c>
      <c r="IS102" s="7">
        <v>270</v>
      </c>
      <c r="IT102" s="7">
        <v>66</v>
      </c>
      <c r="IU102" s="7">
        <v>11</v>
      </c>
      <c r="IV102" s="7">
        <v>620</v>
      </c>
      <c r="IW102" s="7">
        <v>1420</v>
      </c>
      <c r="IX102" s="7">
        <v>13</v>
      </c>
      <c r="IY102" s="7">
        <v>23</v>
      </c>
      <c r="IZ102" s="7">
        <v>0</v>
      </c>
      <c r="JA102" s="7">
        <v>98</v>
      </c>
      <c r="JB102" s="7">
        <v>2045</v>
      </c>
      <c r="JC102" s="7">
        <v>44</v>
      </c>
      <c r="JD102" s="7">
        <v>3</v>
      </c>
      <c r="JE102" s="7">
        <v>26</v>
      </c>
      <c r="JF102" s="151">
        <v>2086.1617266924341</v>
      </c>
      <c r="JG102" s="151">
        <v>83.983966452996526</v>
      </c>
      <c r="JH102" s="7">
        <v>65</v>
      </c>
      <c r="JI102" s="7">
        <v>2026</v>
      </c>
      <c r="JJ102" s="7">
        <v>84</v>
      </c>
      <c r="JK102" s="7">
        <v>5</v>
      </c>
      <c r="JL102" s="7">
        <v>1090</v>
      </c>
      <c r="JM102" s="7">
        <v>434</v>
      </c>
      <c r="JN102" s="7">
        <v>186</v>
      </c>
      <c r="JO102" s="7">
        <v>1236</v>
      </c>
      <c r="JP102" s="7">
        <v>1744</v>
      </c>
      <c r="JQ102" s="7">
        <v>78</v>
      </c>
      <c r="JR102" s="7">
        <v>280</v>
      </c>
      <c r="JS102" s="7">
        <v>572</v>
      </c>
      <c r="JT102" s="7">
        <v>25</v>
      </c>
      <c r="JU102" s="151">
        <v>221.49371419203618</v>
      </c>
      <c r="JV102" s="151">
        <v>1726.7103502736088</v>
      </c>
      <c r="JW102" s="151">
        <v>12.989520144730131</v>
      </c>
      <c r="JX102" s="151">
        <v>124.96814208205885</v>
      </c>
      <c r="JY102" s="7">
        <v>2140</v>
      </c>
      <c r="JZ102" s="7">
        <v>9683</v>
      </c>
      <c r="KA102" s="7">
        <v>0</v>
      </c>
      <c r="KB102" s="7">
        <v>0</v>
      </c>
      <c r="KC102" s="7">
        <v>0</v>
      </c>
      <c r="KD102" s="7">
        <v>0</v>
      </c>
      <c r="KE102" s="7">
        <v>0</v>
      </c>
      <c r="KF102" s="7">
        <v>0</v>
      </c>
      <c r="KG102" s="7">
        <v>57</v>
      </c>
      <c r="KH102" s="7">
        <v>259</v>
      </c>
      <c r="KI102" s="7">
        <v>9126</v>
      </c>
      <c r="KJ102" s="7">
        <v>333</v>
      </c>
      <c r="KK102" s="7">
        <v>16</v>
      </c>
      <c r="KL102" s="7">
        <v>989</v>
      </c>
      <c r="KM102" s="7">
        <v>7710</v>
      </c>
      <c r="KN102" s="7">
        <v>58</v>
      </c>
      <c r="KO102" s="7">
        <v>558</v>
      </c>
      <c r="KP102" s="7">
        <v>9315</v>
      </c>
      <c r="KQ102" s="7">
        <v>375</v>
      </c>
      <c r="KR102" s="7">
        <v>1437</v>
      </c>
      <c r="KS102" s="7">
        <v>1437</v>
      </c>
      <c r="KT102" s="7">
        <v>288</v>
      </c>
      <c r="KU102" s="7">
        <v>116</v>
      </c>
      <c r="KV102" s="7">
        <v>246</v>
      </c>
      <c r="KW102" s="7">
        <v>0</v>
      </c>
      <c r="KX102" s="7">
        <v>314</v>
      </c>
      <c r="KY102" s="7">
        <v>114</v>
      </c>
      <c r="KZ102" s="7">
        <v>247</v>
      </c>
      <c r="LA102" s="7">
        <v>1</v>
      </c>
      <c r="LB102" s="7">
        <v>854</v>
      </c>
      <c r="LC102" s="7">
        <v>811</v>
      </c>
      <c r="LD102" s="7">
        <v>532</v>
      </c>
      <c r="LE102" s="7">
        <v>803</v>
      </c>
      <c r="LF102" s="7">
        <v>6304</v>
      </c>
      <c r="LG102" s="7">
        <v>20</v>
      </c>
      <c r="LH102" s="7">
        <v>1361</v>
      </c>
      <c r="LI102" s="7">
        <v>136</v>
      </c>
      <c r="LJ102" s="7">
        <v>697</v>
      </c>
      <c r="LK102" s="7">
        <v>5</v>
      </c>
      <c r="LL102" s="7">
        <v>312</v>
      </c>
      <c r="LM102" s="7">
        <v>116</v>
      </c>
      <c r="LN102" s="7">
        <v>16</v>
      </c>
      <c r="LO102" s="7">
        <v>1325</v>
      </c>
      <c r="LP102" s="7">
        <v>143</v>
      </c>
      <c r="LQ102" s="7">
        <v>627</v>
      </c>
      <c r="LR102" s="7">
        <v>8</v>
      </c>
      <c r="LS102" s="7">
        <v>234</v>
      </c>
      <c r="LT102" s="7">
        <v>89</v>
      </c>
      <c r="LU102" s="232">
        <v>5.7022498803000001</v>
      </c>
      <c r="LV102" s="232">
        <v>6.0689102563999997</v>
      </c>
      <c r="LW102" s="232">
        <v>5.3387353035</v>
      </c>
      <c r="LX102" s="7">
        <v>2180</v>
      </c>
      <c r="LY102" s="7">
        <v>9734</v>
      </c>
    </row>
    <row r="103" spans="1:337" x14ac:dyDescent="0.25">
      <c r="A103" t="s">
        <v>208</v>
      </c>
      <c r="B103" t="s">
        <v>209</v>
      </c>
      <c r="C103" s="7">
        <v>15890</v>
      </c>
      <c r="D103">
        <v>21045</v>
      </c>
      <c r="F103">
        <f t="shared" si="6"/>
        <v>-21045</v>
      </c>
      <c r="G103">
        <f t="shared" si="7"/>
        <v>-100</v>
      </c>
      <c r="H103">
        <v>10551</v>
      </c>
      <c r="I103">
        <v>10494</v>
      </c>
      <c r="J103">
        <v>16637</v>
      </c>
      <c r="K103">
        <v>4408</v>
      </c>
      <c r="L103" s="7">
        <v>1271</v>
      </c>
      <c r="M103" s="7">
        <v>1106</v>
      </c>
      <c r="N103" s="7">
        <v>1112</v>
      </c>
      <c r="O103" s="7">
        <v>1172</v>
      </c>
      <c r="P103" s="7">
        <v>1012</v>
      </c>
      <c r="Q103" s="7">
        <v>862</v>
      </c>
      <c r="R103" s="7">
        <v>763</v>
      </c>
      <c r="S103" s="7">
        <v>684</v>
      </c>
      <c r="T103" s="7">
        <v>565</v>
      </c>
      <c r="U103" s="7">
        <v>489</v>
      </c>
      <c r="V103" s="7">
        <v>362</v>
      </c>
      <c r="W103" s="7">
        <v>321</v>
      </c>
      <c r="X103" s="7">
        <v>256</v>
      </c>
      <c r="Y103" s="7">
        <v>574</v>
      </c>
      <c r="Z103" s="7">
        <v>2</v>
      </c>
      <c r="AA103" s="7">
        <v>1122</v>
      </c>
      <c r="AB103" s="7">
        <v>1071</v>
      </c>
      <c r="AC103" s="7">
        <v>1047</v>
      </c>
      <c r="AD103" s="7">
        <v>1145</v>
      </c>
      <c r="AE103" s="7">
        <v>1103</v>
      </c>
      <c r="AF103" s="7">
        <v>916</v>
      </c>
      <c r="AG103" s="7">
        <v>781</v>
      </c>
      <c r="AH103" s="7">
        <v>714</v>
      </c>
      <c r="AI103" s="7">
        <v>604</v>
      </c>
      <c r="AJ103" s="7">
        <v>448</v>
      </c>
      <c r="AK103" s="7">
        <v>412</v>
      </c>
      <c r="AL103" s="7">
        <v>292</v>
      </c>
      <c r="AM103" s="7">
        <v>255</v>
      </c>
      <c r="AN103" s="7">
        <v>580</v>
      </c>
      <c r="AO103" s="7">
        <v>4</v>
      </c>
      <c r="AP103">
        <v>20955</v>
      </c>
      <c r="AQ103">
        <v>68</v>
      </c>
      <c r="AR103">
        <v>4</v>
      </c>
      <c r="AS103">
        <v>1</v>
      </c>
      <c r="AT103">
        <v>17</v>
      </c>
      <c r="AU103" s="7">
        <v>45</v>
      </c>
      <c r="AV103" s="7">
        <v>25</v>
      </c>
      <c r="AW103" s="7">
        <v>20</v>
      </c>
      <c r="AX103" s="7">
        <v>81</v>
      </c>
      <c r="AY103" s="7">
        <v>45</v>
      </c>
      <c r="AZ103" s="7">
        <v>10</v>
      </c>
      <c r="BA103" s="7">
        <v>35</v>
      </c>
      <c r="BB103" s="7">
        <v>0</v>
      </c>
      <c r="BC103" s="7">
        <v>1</v>
      </c>
      <c r="BD103" s="7">
        <v>4</v>
      </c>
      <c r="BE103" s="7">
        <v>1</v>
      </c>
      <c r="BF103" s="7">
        <v>3</v>
      </c>
      <c r="BG103" s="7">
        <v>4</v>
      </c>
      <c r="BH103" s="7">
        <v>1</v>
      </c>
      <c r="BI103" s="7">
        <v>2</v>
      </c>
      <c r="BJ103" s="7">
        <v>2</v>
      </c>
      <c r="BK103" s="7">
        <v>2</v>
      </c>
      <c r="BL103" s="7">
        <v>5</v>
      </c>
      <c r="BM103" s="7">
        <v>5</v>
      </c>
      <c r="BN103" s="7">
        <v>3</v>
      </c>
      <c r="BO103" s="7">
        <v>1</v>
      </c>
      <c r="BP103" s="7">
        <v>1</v>
      </c>
      <c r="BQ103" s="7">
        <v>2</v>
      </c>
      <c r="BR103" s="7">
        <v>3</v>
      </c>
      <c r="BS103" s="7">
        <v>0</v>
      </c>
      <c r="BT103" s="7">
        <v>0</v>
      </c>
      <c r="BU103" s="7">
        <v>1</v>
      </c>
      <c r="BV103" s="7">
        <v>0</v>
      </c>
      <c r="BW103" s="7">
        <v>0</v>
      </c>
      <c r="BX103" s="7">
        <v>1</v>
      </c>
      <c r="BY103" s="7">
        <v>1</v>
      </c>
      <c r="BZ103" s="7">
        <v>1</v>
      </c>
      <c r="CA103" s="7">
        <v>0</v>
      </c>
      <c r="CB103" s="7">
        <v>1</v>
      </c>
      <c r="CC103" s="7">
        <v>0</v>
      </c>
      <c r="CD103" s="7">
        <v>19</v>
      </c>
      <c r="CE103" s="7">
        <v>15</v>
      </c>
      <c r="CF103" s="7">
        <v>0</v>
      </c>
      <c r="CG103" s="7">
        <v>0</v>
      </c>
      <c r="CH103" s="7">
        <v>3947</v>
      </c>
      <c r="CI103" s="7">
        <v>784</v>
      </c>
      <c r="CJ103" s="7">
        <v>18053</v>
      </c>
      <c r="CK103" s="7">
        <v>2989</v>
      </c>
      <c r="CL103" s="7">
        <v>229</v>
      </c>
      <c r="CM103" s="7">
        <v>543</v>
      </c>
      <c r="CN103" s="7">
        <v>853</v>
      </c>
      <c r="CO103" s="7">
        <v>1084</v>
      </c>
      <c r="CP103" s="7">
        <v>868</v>
      </c>
      <c r="CQ103" s="7">
        <v>1154</v>
      </c>
      <c r="CR103" s="7">
        <v>3812</v>
      </c>
      <c r="CS103" s="7">
        <v>9440</v>
      </c>
      <c r="CT103" s="7">
        <v>1662</v>
      </c>
      <c r="CU103" s="7">
        <v>716</v>
      </c>
      <c r="CV103" s="7">
        <v>195</v>
      </c>
      <c r="CW103" s="7">
        <v>424</v>
      </c>
      <c r="CX103" s="7">
        <v>34</v>
      </c>
      <c r="CY103" s="7">
        <v>12898</v>
      </c>
      <c r="CZ103" s="7">
        <v>7620</v>
      </c>
      <c r="DA103" s="7">
        <v>124</v>
      </c>
      <c r="DB103" s="7">
        <v>229</v>
      </c>
      <c r="DC103" s="7">
        <v>8</v>
      </c>
      <c r="DD103" s="7">
        <v>614</v>
      </c>
      <c r="DE103" s="7">
        <v>724</v>
      </c>
      <c r="DF103" s="7">
        <v>3070</v>
      </c>
      <c r="DG103" s="7">
        <v>0</v>
      </c>
      <c r="DH103" s="7">
        <v>0</v>
      </c>
      <c r="DI103" s="7">
        <v>16637</v>
      </c>
      <c r="DJ103" s="7">
        <v>0</v>
      </c>
      <c r="DK103" s="7">
        <v>0</v>
      </c>
      <c r="DL103" s="7">
        <v>63</v>
      </c>
      <c r="DM103" s="7">
        <v>2</v>
      </c>
      <c r="DN103" s="7">
        <v>2</v>
      </c>
      <c r="DO103" s="7">
        <v>0</v>
      </c>
      <c r="DP103" s="7">
        <v>0</v>
      </c>
      <c r="DQ103" s="7">
        <v>1</v>
      </c>
      <c r="DR103" s="7">
        <v>0</v>
      </c>
      <c r="DS103" s="7">
        <v>0</v>
      </c>
      <c r="DT103" s="7">
        <v>64</v>
      </c>
      <c r="DU103" s="7">
        <v>47</v>
      </c>
      <c r="DV103" s="7">
        <v>17</v>
      </c>
      <c r="DW103" s="7">
        <v>20</v>
      </c>
      <c r="DX103" s="7">
        <v>8</v>
      </c>
      <c r="DY103" s="7">
        <v>7</v>
      </c>
      <c r="DZ103" s="7">
        <v>23</v>
      </c>
      <c r="EA103" s="7">
        <v>30</v>
      </c>
      <c r="EB103" s="7">
        <v>1</v>
      </c>
      <c r="EC103" s="7">
        <v>4</v>
      </c>
      <c r="ED103" s="7">
        <v>3</v>
      </c>
      <c r="EE103" s="7">
        <v>5</v>
      </c>
      <c r="EF103" s="7">
        <v>23</v>
      </c>
      <c r="EG103" s="7">
        <v>15</v>
      </c>
      <c r="EH103" s="7">
        <v>71</v>
      </c>
      <c r="EI103" s="7">
        <v>20</v>
      </c>
      <c r="EJ103" s="7">
        <v>11</v>
      </c>
      <c r="EK103" s="7">
        <v>37</v>
      </c>
      <c r="EL103" s="7">
        <v>2</v>
      </c>
      <c r="EM103" s="7">
        <v>5</v>
      </c>
      <c r="EN103" s="7">
        <v>23</v>
      </c>
      <c r="EO103" s="7">
        <v>5948</v>
      </c>
      <c r="EP103" s="7">
        <v>5883</v>
      </c>
      <c r="EQ103" s="7">
        <v>65</v>
      </c>
      <c r="ER103" s="7">
        <v>1717</v>
      </c>
      <c r="ES103" s="7">
        <v>1557</v>
      </c>
      <c r="ET103" s="7">
        <v>1542</v>
      </c>
      <c r="EU103" s="7">
        <v>15</v>
      </c>
      <c r="EV103" s="7">
        <v>6331</v>
      </c>
      <c r="EW103" s="134">
        <v>40.011970671999997</v>
      </c>
      <c r="EX103" s="134">
        <v>18.03082448</v>
      </c>
      <c r="EY103" s="134">
        <v>7.7809367051000002</v>
      </c>
      <c r="EZ103" s="134">
        <v>33.054017657000003</v>
      </c>
      <c r="FA103" s="134">
        <v>1.1222504863</v>
      </c>
      <c r="FB103" s="7">
        <v>994</v>
      </c>
      <c r="FC103" s="7">
        <v>2450</v>
      </c>
      <c r="FD103" s="7">
        <v>257</v>
      </c>
      <c r="FE103" s="7">
        <v>1411</v>
      </c>
      <c r="FF103" s="7">
        <v>16</v>
      </c>
      <c r="FG103" s="7">
        <v>1151</v>
      </c>
      <c r="FH103" s="7">
        <v>1190</v>
      </c>
      <c r="FI103" s="134">
        <v>36.824779290999999</v>
      </c>
      <c r="FJ103" s="134">
        <v>27.921592099000001</v>
      </c>
      <c r="FK103" s="134">
        <v>31.767170432</v>
      </c>
      <c r="FL103" s="134">
        <v>3.4864581774999999</v>
      </c>
      <c r="FM103" s="151">
        <v>6567</v>
      </c>
      <c r="FN103" s="151">
        <v>3961</v>
      </c>
      <c r="FO103" s="7">
        <v>625</v>
      </c>
      <c r="FP103" s="7">
        <v>952</v>
      </c>
      <c r="FQ103" s="7">
        <v>226</v>
      </c>
      <c r="FR103" s="7">
        <v>32</v>
      </c>
      <c r="FS103" s="7">
        <v>4649</v>
      </c>
      <c r="FT103" s="7">
        <v>55</v>
      </c>
      <c r="FU103" s="7">
        <v>48</v>
      </c>
      <c r="FV103" s="7">
        <v>23</v>
      </c>
      <c r="FW103" s="7">
        <v>6960</v>
      </c>
      <c r="FX103" s="7">
        <v>3499</v>
      </c>
      <c r="FY103" s="7">
        <v>595</v>
      </c>
      <c r="FZ103" s="7">
        <v>1039</v>
      </c>
      <c r="GA103" s="7">
        <v>226</v>
      </c>
      <c r="GB103" s="7">
        <v>40</v>
      </c>
      <c r="GC103" s="7">
        <v>4952</v>
      </c>
      <c r="GD103" s="7">
        <v>69</v>
      </c>
      <c r="GE103" s="7">
        <v>57</v>
      </c>
      <c r="GF103" s="7">
        <v>35</v>
      </c>
      <c r="GG103" s="7">
        <v>786</v>
      </c>
      <c r="GH103" s="7">
        <v>725</v>
      </c>
      <c r="GI103" s="7">
        <v>807</v>
      </c>
      <c r="GJ103" s="7">
        <v>749</v>
      </c>
      <c r="GK103" s="7">
        <v>485</v>
      </c>
      <c r="GL103" s="7">
        <v>457</v>
      </c>
      <c r="GM103" s="7">
        <v>481</v>
      </c>
      <c r="GN103" s="7">
        <v>435</v>
      </c>
      <c r="GO103" s="7">
        <v>354</v>
      </c>
      <c r="GP103" s="7">
        <v>322</v>
      </c>
      <c r="GQ103" s="7">
        <v>230</v>
      </c>
      <c r="GR103" s="7">
        <v>202</v>
      </c>
      <c r="GS103" s="7">
        <v>152</v>
      </c>
      <c r="GT103" s="7">
        <v>129</v>
      </c>
      <c r="GU103" s="7">
        <v>111</v>
      </c>
      <c r="GV103" s="7">
        <v>55</v>
      </c>
      <c r="GW103" s="7">
        <v>50</v>
      </c>
      <c r="GX103" s="7">
        <v>36</v>
      </c>
      <c r="GY103" s="7">
        <v>652</v>
      </c>
      <c r="GZ103" s="7">
        <v>734</v>
      </c>
      <c r="HA103" s="7">
        <v>755</v>
      </c>
      <c r="HB103" s="7">
        <v>729</v>
      </c>
      <c r="HC103" s="7">
        <v>624</v>
      </c>
      <c r="HD103" s="7">
        <v>594</v>
      </c>
      <c r="HE103" s="7">
        <v>532</v>
      </c>
      <c r="HF103" s="7">
        <v>501</v>
      </c>
      <c r="HG103" s="7">
        <v>434</v>
      </c>
      <c r="HH103" s="7">
        <v>317</v>
      </c>
      <c r="HI103" s="7">
        <v>307</v>
      </c>
      <c r="HJ103" s="7">
        <v>198</v>
      </c>
      <c r="HK103" s="7">
        <v>176</v>
      </c>
      <c r="HL103" s="7">
        <v>139</v>
      </c>
      <c r="HM103" s="7">
        <v>132</v>
      </c>
      <c r="HN103" s="7">
        <v>70</v>
      </c>
      <c r="HO103" s="7">
        <v>37</v>
      </c>
      <c r="HP103" s="7">
        <v>28</v>
      </c>
      <c r="HQ103" s="7">
        <v>4706</v>
      </c>
      <c r="HR103" s="7">
        <v>0</v>
      </c>
      <c r="HS103" s="7">
        <v>0</v>
      </c>
      <c r="HT103" s="7">
        <v>0</v>
      </c>
      <c r="HU103" s="7">
        <v>1</v>
      </c>
      <c r="HV103" s="7">
        <v>0</v>
      </c>
      <c r="HW103" s="7">
        <v>10</v>
      </c>
      <c r="HX103" s="7">
        <v>15</v>
      </c>
      <c r="HY103" s="7">
        <v>229</v>
      </c>
      <c r="HZ103" s="7">
        <v>541</v>
      </c>
      <c r="IA103" s="7">
        <v>852</v>
      </c>
      <c r="IB103" s="7">
        <v>1081</v>
      </c>
      <c r="IC103" s="7">
        <v>868</v>
      </c>
      <c r="ID103" s="7">
        <v>546</v>
      </c>
      <c r="IE103" s="7">
        <v>240</v>
      </c>
      <c r="IF103" s="7">
        <v>143</v>
      </c>
      <c r="IG103" s="7">
        <v>220</v>
      </c>
      <c r="IH103" s="7">
        <v>854</v>
      </c>
      <c r="II103" s="7">
        <v>1630</v>
      </c>
      <c r="IJ103" s="7">
        <v>1310</v>
      </c>
      <c r="IK103" s="7">
        <v>579</v>
      </c>
      <c r="IL103" s="7">
        <v>207</v>
      </c>
      <c r="IM103" s="7">
        <v>84</v>
      </c>
      <c r="IN103" s="7">
        <v>15</v>
      </c>
      <c r="IO103" s="7">
        <v>5</v>
      </c>
      <c r="IP103" s="7">
        <v>4</v>
      </c>
      <c r="IQ103" s="7">
        <v>2561</v>
      </c>
      <c r="IR103" s="7">
        <v>1516</v>
      </c>
      <c r="IS103" s="7">
        <v>475</v>
      </c>
      <c r="IT103" s="7">
        <v>108</v>
      </c>
      <c r="IU103" s="7">
        <v>29</v>
      </c>
      <c r="IV103" s="7">
        <v>3003</v>
      </c>
      <c r="IW103" s="7">
        <v>1190</v>
      </c>
      <c r="IX103" s="7">
        <v>16</v>
      </c>
      <c r="IY103" s="7">
        <v>86</v>
      </c>
      <c r="IZ103" s="7">
        <v>70</v>
      </c>
      <c r="JA103" s="7">
        <v>343</v>
      </c>
      <c r="JB103" s="7">
        <v>3491</v>
      </c>
      <c r="JC103" s="7">
        <v>970</v>
      </c>
      <c r="JD103" s="7">
        <v>5</v>
      </c>
      <c r="JE103" s="7">
        <v>2</v>
      </c>
      <c r="JF103" s="151">
        <v>4489.7514100031813</v>
      </c>
      <c r="JG103" s="151">
        <v>220.33934507502218</v>
      </c>
      <c r="JH103" s="7">
        <v>329</v>
      </c>
      <c r="JI103" s="7">
        <v>3712</v>
      </c>
      <c r="JJ103" s="7">
        <v>653</v>
      </c>
      <c r="JK103" s="7">
        <v>26</v>
      </c>
      <c r="JL103" s="7">
        <v>3574</v>
      </c>
      <c r="JM103" s="7">
        <v>1941</v>
      </c>
      <c r="JN103" s="7">
        <v>812</v>
      </c>
      <c r="JO103" s="7">
        <v>3291</v>
      </c>
      <c r="JP103" s="7">
        <v>4252</v>
      </c>
      <c r="JQ103" s="7">
        <v>511</v>
      </c>
      <c r="JR103" s="7">
        <v>578</v>
      </c>
      <c r="JS103" s="7">
        <v>2633</v>
      </c>
      <c r="JT103" s="7">
        <v>201</v>
      </c>
      <c r="JU103" s="151">
        <v>769.8386913641591</v>
      </c>
      <c r="JV103" s="151">
        <v>3676.7441938896304</v>
      </c>
      <c r="JW103" s="151">
        <v>33.950246026865663</v>
      </c>
      <c r="JX103" s="151">
        <v>9.2182787225264384</v>
      </c>
      <c r="JY103" s="7">
        <v>4625</v>
      </c>
      <c r="JZ103" s="7">
        <v>20934</v>
      </c>
      <c r="KA103" s="7">
        <v>0</v>
      </c>
      <c r="KB103" s="7">
        <v>0</v>
      </c>
      <c r="KC103" s="7">
        <v>0</v>
      </c>
      <c r="KD103" s="7">
        <v>6</v>
      </c>
      <c r="KE103" s="7">
        <v>0</v>
      </c>
      <c r="KF103" s="7">
        <v>50</v>
      </c>
      <c r="KG103" s="7">
        <v>55</v>
      </c>
      <c r="KH103" s="7">
        <v>1495</v>
      </c>
      <c r="KI103" s="7">
        <v>16607</v>
      </c>
      <c r="KJ103" s="7">
        <v>2783</v>
      </c>
      <c r="KK103" s="7">
        <v>101</v>
      </c>
      <c r="KL103" s="7">
        <v>3424</v>
      </c>
      <c r="KM103" s="7">
        <v>16353</v>
      </c>
      <c r="KN103" s="7">
        <v>151</v>
      </c>
      <c r="KO103" s="7">
        <v>41</v>
      </c>
      <c r="KP103" s="7">
        <v>19969</v>
      </c>
      <c r="KQ103" s="7">
        <v>980</v>
      </c>
      <c r="KR103" s="7">
        <v>3190</v>
      </c>
      <c r="KS103" s="7">
        <v>3190</v>
      </c>
      <c r="KT103" s="7">
        <v>623</v>
      </c>
      <c r="KU103" s="7">
        <v>201</v>
      </c>
      <c r="KV103" s="7">
        <v>586</v>
      </c>
      <c r="KW103" s="7">
        <v>0</v>
      </c>
      <c r="KX103" s="7">
        <v>605</v>
      </c>
      <c r="KY103" s="7">
        <v>170</v>
      </c>
      <c r="KZ103" s="7">
        <v>569</v>
      </c>
      <c r="LA103" s="7">
        <v>2</v>
      </c>
      <c r="LB103" s="7">
        <v>1652</v>
      </c>
      <c r="LC103" s="7">
        <v>1581</v>
      </c>
      <c r="LD103" s="7">
        <v>962</v>
      </c>
      <c r="LE103" s="7">
        <v>1297</v>
      </c>
      <c r="LF103" s="7">
        <v>14310</v>
      </c>
      <c r="LG103" s="7">
        <v>16</v>
      </c>
      <c r="LH103" s="7">
        <v>2108</v>
      </c>
      <c r="LI103" s="7">
        <v>409</v>
      </c>
      <c r="LJ103" s="7">
        <v>1287</v>
      </c>
      <c r="LK103" s="7">
        <v>3</v>
      </c>
      <c r="LL103" s="7">
        <v>1291</v>
      </c>
      <c r="LM103" s="7">
        <v>946</v>
      </c>
      <c r="LN103" s="7">
        <v>19</v>
      </c>
      <c r="LO103" s="7">
        <v>2520</v>
      </c>
      <c r="LP103" s="7">
        <v>356</v>
      </c>
      <c r="LQ103" s="7">
        <v>1341</v>
      </c>
      <c r="LR103" s="7">
        <v>19</v>
      </c>
      <c r="LS103" s="7">
        <v>1074</v>
      </c>
      <c r="LT103" s="7">
        <v>673</v>
      </c>
      <c r="LU103" s="232">
        <v>7.2478294628000004</v>
      </c>
      <c r="LV103" s="232">
        <v>7.6637130199000003</v>
      </c>
      <c r="LW103" s="232">
        <v>6.8419804741999997</v>
      </c>
      <c r="LX103" s="7">
        <v>4720</v>
      </c>
      <c r="LY103" s="7">
        <v>20986</v>
      </c>
    </row>
    <row r="104" spans="1:337" x14ac:dyDescent="0.25">
      <c r="A104" t="s">
        <v>210</v>
      </c>
      <c r="B104" t="s">
        <v>211</v>
      </c>
      <c r="C104" s="7">
        <v>30251</v>
      </c>
      <c r="D104">
        <v>35056</v>
      </c>
      <c r="F104">
        <f t="shared" si="6"/>
        <v>-35056</v>
      </c>
      <c r="G104">
        <f t="shared" si="7"/>
        <v>-100</v>
      </c>
      <c r="H104">
        <v>17171</v>
      </c>
      <c r="I104">
        <v>17885</v>
      </c>
      <c r="J104">
        <v>19106</v>
      </c>
      <c r="K104">
        <v>15950</v>
      </c>
      <c r="L104" s="7">
        <v>1997</v>
      </c>
      <c r="M104" s="7">
        <v>2057</v>
      </c>
      <c r="N104" s="7">
        <v>2107</v>
      </c>
      <c r="O104" s="7">
        <v>2031</v>
      </c>
      <c r="P104" s="7">
        <v>1419</v>
      </c>
      <c r="Q104" s="7">
        <v>1165</v>
      </c>
      <c r="R104" s="7">
        <v>1128</v>
      </c>
      <c r="S104" s="7">
        <v>1040</v>
      </c>
      <c r="T104" s="7">
        <v>890</v>
      </c>
      <c r="U104" s="7">
        <v>780</v>
      </c>
      <c r="V104" s="7">
        <v>703</v>
      </c>
      <c r="W104" s="7">
        <v>523</v>
      </c>
      <c r="X104" s="7">
        <v>419</v>
      </c>
      <c r="Y104" s="7">
        <v>905</v>
      </c>
      <c r="Z104" s="7">
        <v>7</v>
      </c>
      <c r="AA104" s="7">
        <v>1929</v>
      </c>
      <c r="AB104" s="7">
        <v>1939</v>
      </c>
      <c r="AC104" s="7">
        <v>1989</v>
      </c>
      <c r="AD104" s="7">
        <v>2097</v>
      </c>
      <c r="AE104" s="7">
        <v>1640</v>
      </c>
      <c r="AF104" s="7">
        <v>1421</v>
      </c>
      <c r="AG104" s="7">
        <v>1362</v>
      </c>
      <c r="AH104" s="7">
        <v>1201</v>
      </c>
      <c r="AI104" s="7">
        <v>983</v>
      </c>
      <c r="AJ104" s="7">
        <v>815</v>
      </c>
      <c r="AK104" s="7">
        <v>694</v>
      </c>
      <c r="AL104" s="7">
        <v>493</v>
      </c>
      <c r="AM104" s="7">
        <v>413</v>
      </c>
      <c r="AN104" s="7">
        <v>901</v>
      </c>
      <c r="AO104" s="7">
        <v>8</v>
      </c>
      <c r="AP104">
        <v>30644</v>
      </c>
      <c r="AQ104">
        <v>902</v>
      </c>
      <c r="AR104">
        <v>41</v>
      </c>
      <c r="AS104">
        <v>3350</v>
      </c>
      <c r="AT104">
        <v>119</v>
      </c>
      <c r="AU104" s="7">
        <v>83</v>
      </c>
      <c r="AV104" s="7">
        <v>50</v>
      </c>
      <c r="AW104" s="7">
        <v>33</v>
      </c>
      <c r="AX104" s="7">
        <v>113</v>
      </c>
      <c r="AY104" s="7">
        <v>83</v>
      </c>
      <c r="AZ104" s="7">
        <v>41</v>
      </c>
      <c r="BA104" s="7">
        <v>42</v>
      </c>
      <c r="BB104" s="7">
        <v>2</v>
      </c>
      <c r="BC104" s="7">
        <v>0</v>
      </c>
      <c r="BD104" s="7">
        <v>4</v>
      </c>
      <c r="BE104" s="7">
        <v>4</v>
      </c>
      <c r="BF104" s="7">
        <v>3</v>
      </c>
      <c r="BG104" s="7">
        <v>2</v>
      </c>
      <c r="BH104" s="7">
        <v>1</v>
      </c>
      <c r="BI104" s="7">
        <v>5</v>
      </c>
      <c r="BJ104" s="7">
        <v>3</v>
      </c>
      <c r="BK104" s="7">
        <v>5</v>
      </c>
      <c r="BL104" s="7">
        <v>7</v>
      </c>
      <c r="BM104" s="7">
        <v>4</v>
      </c>
      <c r="BN104" s="7">
        <v>5</v>
      </c>
      <c r="BO104" s="7">
        <v>4</v>
      </c>
      <c r="BP104" s="7">
        <v>3</v>
      </c>
      <c r="BQ104" s="7">
        <v>3</v>
      </c>
      <c r="BR104" s="7">
        <v>6</v>
      </c>
      <c r="BS104" s="7">
        <v>1</v>
      </c>
      <c r="BT104" s="7">
        <v>2</v>
      </c>
      <c r="BU104" s="7">
        <v>1</v>
      </c>
      <c r="BV104" s="7">
        <v>3</v>
      </c>
      <c r="BW104" s="7">
        <v>1</v>
      </c>
      <c r="BX104" s="7">
        <v>3</v>
      </c>
      <c r="BY104" s="7">
        <v>0</v>
      </c>
      <c r="BZ104" s="7">
        <v>0</v>
      </c>
      <c r="CA104" s="7">
        <v>1</v>
      </c>
      <c r="CB104" s="7">
        <v>8</v>
      </c>
      <c r="CC104" s="7">
        <v>2</v>
      </c>
      <c r="CD104" s="7">
        <v>36</v>
      </c>
      <c r="CE104" s="7">
        <v>23</v>
      </c>
      <c r="CF104" s="7">
        <v>0</v>
      </c>
      <c r="CG104" s="7">
        <v>0</v>
      </c>
      <c r="CH104" s="7">
        <v>6434</v>
      </c>
      <c r="CI104" s="7">
        <v>2377</v>
      </c>
      <c r="CJ104" s="7">
        <v>26171</v>
      </c>
      <c r="CK104" s="7">
        <v>8885</v>
      </c>
      <c r="CL104" s="7">
        <v>934</v>
      </c>
      <c r="CM104" s="7">
        <v>1231</v>
      </c>
      <c r="CN104" s="7">
        <v>1644</v>
      </c>
      <c r="CO104" s="7">
        <v>1853</v>
      </c>
      <c r="CP104" s="7">
        <v>1439</v>
      </c>
      <c r="CQ104" s="7">
        <v>1710</v>
      </c>
      <c r="CR104" s="7">
        <v>5749</v>
      </c>
      <c r="CS104" s="7">
        <v>14739</v>
      </c>
      <c r="CT104" s="7">
        <v>2966</v>
      </c>
      <c r="CU104" s="7">
        <v>708</v>
      </c>
      <c r="CV104" s="7">
        <v>260</v>
      </c>
      <c r="CW104" s="7">
        <v>1226</v>
      </c>
      <c r="CX104" s="7">
        <v>471</v>
      </c>
      <c r="CY104" s="7">
        <v>19942</v>
      </c>
      <c r="CZ104" s="7">
        <v>11930</v>
      </c>
      <c r="DA104" s="7">
        <v>1472</v>
      </c>
      <c r="DB104" s="7">
        <v>934</v>
      </c>
      <c r="DC104" s="7">
        <v>164</v>
      </c>
      <c r="DD104" s="7">
        <v>3703</v>
      </c>
      <c r="DE104" s="7">
        <v>2548</v>
      </c>
      <c r="DF104" s="7">
        <v>9699</v>
      </c>
      <c r="DG104" s="7">
        <v>4500</v>
      </c>
      <c r="DH104" s="7">
        <v>0</v>
      </c>
      <c r="DI104" s="7">
        <v>14606</v>
      </c>
      <c r="DJ104" s="7">
        <v>0</v>
      </c>
      <c r="DK104" s="7">
        <v>0</v>
      </c>
      <c r="DL104" s="7">
        <v>130</v>
      </c>
      <c r="DM104" s="7">
        <v>7</v>
      </c>
      <c r="DN104" s="7">
        <v>12</v>
      </c>
      <c r="DO104" s="7">
        <v>1</v>
      </c>
      <c r="DP104" s="7">
        <v>0</v>
      </c>
      <c r="DQ104" s="7">
        <v>1</v>
      </c>
      <c r="DR104" s="7">
        <v>0</v>
      </c>
      <c r="DS104" s="7">
        <v>0</v>
      </c>
      <c r="DT104" s="7">
        <v>206</v>
      </c>
      <c r="DU104" s="7">
        <v>215</v>
      </c>
      <c r="DV104" s="7">
        <v>153</v>
      </c>
      <c r="DW104" s="7">
        <v>141</v>
      </c>
      <c r="DX104" s="7">
        <v>50</v>
      </c>
      <c r="DY104" s="7">
        <v>35</v>
      </c>
      <c r="DZ104" s="7">
        <v>83</v>
      </c>
      <c r="EA104" s="7">
        <v>42</v>
      </c>
      <c r="EB104" s="7">
        <v>15</v>
      </c>
      <c r="EC104" s="7">
        <v>6</v>
      </c>
      <c r="ED104" s="7">
        <v>20</v>
      </c>
      <c r="EE104" s="7">
        <v>10</v>
      </c>
      <c r="EF104" s="7">
        <v>59</v>
      </c>
      <c r="EG104" s="7">
        <v>42</v>
      </c>
      <c r="EH104" s="7">
        <v>204</v>
      </c>
      <c r="EI104" s="7">
        <v>140</v>
      </c>
      <c r="EJ104" s="7">
        <v>41</v>
      </c>
      <c r="EK104" s="7">
        <v>46</v>
      </c>
      <c r="EL104" s="7">
        <v>9</v>
      </c>
      <c r="EM104" s="7">
        <v>12</v>
      </c>
      <c r="EN104" s="7">
        <v>45</v>
      </c>
      <c r="EO104" s="7">
        <v>9316</v>
      </c>
      <c r="EP104" s="7">
        <v>9111</v>
      </c>
      <c r="EQ104" s="7">
        <v>205</v>
      </c>
      <c r="ER104" s="7">
        <v>2853</v>
      </c>
      <c r="ES104" s="7">
        <v>2903</v>
      </c>
      <c r="ET104" s="7">
        <v>2866</v>
      </c>
      <c r="EU104" s="7">
        <v>37</v>
      </c>
      <c r="EV104" s="7">
        <v>10251</v>
      </c>
      <c r="EW104" s="134">
        <v>38.888417480000001</v>
      </c>
      <c r="EX104" s="134">
        <v>10.089096309</v>
      </c>
      <c r="EY104" s="134">
        <v>14.543911752</v>
      </c>
      <c r="EZ104" s="134">
        <v>35.171828595999997</v>
      </c>
      <c r="FA104" s="134">
        <v>1.3067458634</v>
      </c>
      <c r="FB104" s="7">
        <v>2263</v>
      </c>
      <c r="FC104" s="7">
        <v>4853</v>
      </c>
      <c r="FD104" s="7">
        <v>505</v>
      </c>
      <c r="FE104" s="7">
        <v>2164</v>
      </c>
      <c r="FF104" s="7">
        <v>11</v>
      </c>
      <c r="FG104" s="7">
        <v>1742</v>
      </c>
      <c r="FH104" s="7">
        <v>664</v>
      </c>
      <c r="FI104" s="134">
        <v>24.649978786999998</v>
      </c>
      <c r="FJ104" s="134">
        <v>49.783623249999998</v>
      </c>
      <c r="FK104" s="134">
        <v>21.306745863</v>
      </c>
      <c r="FL104" s="134">
        <v>4.2596521001000003</v>
      </c>
      <c r="FM104" s="151">
        <v>6876</v>
      </c>
      <c r="FN104" s="151">
        <v>10230</v>
      </c>
      <c r="FO104" s="7">
        <v>1408</v>
      </c>
      <c r="FP104" s="7">
        <v>402</v>
      </c>
      <c r="FQ104" s="7">
        <v>26</v>
      </c>
      <c r="FR104" s="7">
        <v>68</v>
      </c>
      <c r="FS104" s="7">
        <v>4793</v>
      </c>
      <c r="FT104" s="7">
        <v>43</v>
      </c>
      <c r="FU104" s="7">
        <v>142</v>
      </c>
      <c r="FV104" s="7">
        <v>65</v>
      </c>
      <c r="FW104" s="7">
        <v>7899</v>
      </c>
      <c r="FX104" s="7">
        <v>9930</v>
      </c>
      <c r="FY104" s="7">
        <v>1507</v>
      </c>
      <c r="FZ104" s="7">
        <v>471</v>
      </c>
      <c r="GA104" s="7">
        <v>25</v>
      </c>
      <c r="GB104" s="7">
        <v>66</v>
      </c>
      <c r="GC104" s="7">
        <v>5634</v>
      </c>
      <c r="GD104" s="7">
        <v>57</v>
      </c>
      <c r="GE104" s="7">
        <v>156</v>
      </c>
      <c r="GF104" s="7">
        <v>56</v>
      </c>
      <c r="GG104" s="7">
        <v>808</v>
      </c>
      <c r="GH104" s="7">
        <v>815</v>
      </c>
      <c r="GI104" s="7">
        <v>923</v>
      </c>
      <c r="GJ104" s="7">
        <v>848</v>
      </c>
      <c r="GK104" s="7">
        <v>456</v>
      </c>
      <c r="GL104" s="7">
        <v>369</v>
      </c>
      <c r="GM104" s="7">
        <v>403</v>
      </c>
      <c r="GN104" s="7">
        <v>374</v>
      </c>
      <c r="GO104" s="7">
        <v>334</v>
      </c>
      <c r="GP104" s="7">
        <v>342</v>
      </c>
      <c r="GQ104" s="7">
        <v>326</v>
      </c>
      <c r="GR104" s="7">
        <v>246</v>
      </c>
      <c r="GS104" s="7">
        <v>182</v>
      </c>
      <c r="GT104" s="7">
        <v>147</v>
      </c>
      <c r="GU104" s="7">
        <v>158</v>
      </c>
      <c r="GV104" s="7">
        <v>70</v>
      </c>
      <c r="GW104" s="7">
        <v>41</v>
      </c>
      <c r="GX104" s="7">
        <v>30</v>
      </c>
      <c r="GY104" s="7">
        <v>761</v>
      </c>
      <c r="GZ104" s="7">
        <v>779</v>
      </c>
      <c r="HA104" s="7">
        <v>820</v>
      </c>
      <c r="HB104" s="7">
        <v>901</v>
      </c>
      <c r="HC104" s="7">
        <v>657</v>
      </c>
      <c r="HD104" s="7">
        <v>592</v>
      </c>
      <c r="HE104" s="7">
        <v>593</v>
      </c>
      <c r="HF104" s="7">
        <v>562</v>
      </c>
      <c r="HG104" s="7">
        <v>480</v>
      </c>
      <c r="HH104" s="7">
        <v>398</v>
      </c>
      <c r="HI104" s="7">
        <v>369</v>
      </c>
      <c r="HJ104" s="7">
        <v>268</v>
      </c>
      <c r="HK104" s="7">
        <v>233</v>
      </c>
      <c r="HL104" s="7">
        <v>176</v>
      </c>
      <c r="HM104" s="7">
        <v>145</v>
      </c>
      <c r="HN104" s="7">
        <v>81</v>
      </c>
      <c r="HO104" s="7">
        <v>47</v>
      </c>
      <c r="HP104" s="7">
        <v>35</v>
      </c>
      <c r="HQ104" s="7">
        <v>8560</v>
      </c>
      <c r="HR104" s="7">
        <v>1</v>
      </c>
      <c r="HS104" s="7">
        <v>221</v>
      </c>
      <c r="HT104" s="7">
        <v>6</v>
      </c>
      <c r="HU104" s="7">
        <v>3</v>
      </c>
      <c r="HV104" s="7">
        <v>0</v>
      </c>
      <c r="HW104" s="7">
        <v>2</v>
      </c>
      <c r="HX104" s="7">
        <v>18</v>
      </c>
      <c r="HY104" s="7">
        <v>933</v>
      </c>
      <c r="HZ104" s="7">
        <v>1230</v>
      </c>
      <c r="IA104" s="7">
        <v>1642</v>
      </c>
      <c r="IB104" s="7">
        <v>1853</v>
      </c>
      <c r="IC104" s="7">
        <v>1438</v>
      </c>
      <c r="ID104" s="7">
        <v>868</v>
      </c>
      <c r="IE104" s="7">
        <v>382</v>
      </c>
      <c r="IF104" s="7">
        <v>216</v>
      </c>
      <c r="IG104" s="7">
        <v>244</v>
      </c>
      <c r="IH104" s="7">
        <v>2006</v>
      </c>
      <c r="II104" s="7">
        <v>2542</v>
      </c>
      <c r="IJ104" s="7">
        <v>2069</v>
      </c>
      <c r="IK104" s="7">
        <v>1289</v>
      </c>
      <c r="IL104" s="7">
        <v>567</v>
      </c>
      <c r="IM104" s="7">
        <v>204</v>
      </c>
      <c r="IN104" s="7">
        <v>53</v>
      </c>
      <c r="IO104" s="7">
        <v>22</v>
      </c>
      <c r="IP104" s="7">
        <v>15</v>
      </c>
      <c r="IQ104" s="7">
        <v>4854</v>
      </c>
      <c r="IR104" s="7">
        <v>2730</v>
      </c>
      <c r="IS104" s="7">
        <v>909</v>
      </c>
      <c r="IT104" s="7">
        <v>238</v>
      </c>
      <c r="IU104" s="7">
        <v>49</v>
      </c>
      <c r="IV104" s="7">
        <v>2713</v>
      </c>
      <c r="IW104" s="7">
        <v>1652</v>
      </c>
      <c r="IX104" s="7">
        <v>762</v>
      </c>
      <c r="IY104" s="7">
        <v>155</v>
      </c>
      <c r="IZ104" s="7">
        <v>115</v>
      </c>
      <c r="JA104" s="7">
        <v>3370</v>
      </c>
      <c r="JB104" s="7">
        <v>4420</v>
      </c>
      <c r="JC104" s="7">
        <v>3320</v>
      </c>
      <c r="JD104" s="7">
        <v>33</v>
      </c>
      <c r="JE104" s="7">
        <v>20</v>
      </c>
      <c r="JF104" s="151">
        <v>8345.2657337402034</v>
      </c>
      <c r="JG104" s="151">
        <v>435.32211700262121</v>
      </c>
      <c r="JH104" s="7">
        <v>1984</v>
      </c>
      <c r="JI104" s="7">
        <v>6373</v>
      </c>
      <c r="JJ104" s="7">
        <v>409</v>
      </c>
      <c r="JK104" s="7">
        <v>40</v>
      </c>
      <c r="JL104" s="7">
        <v>6129</v>
      </c>
      <c r="JM104" s="7">
        <v>2811</v>
      </c>
      <c r="JN104" s="7">
        <v>1321</v>
      </c>
      <c r="JO104" s="7">
        <v>5842</v>
      </c>
      <c r="JP104" s="7">
        <v>7497</v>
      </c>
      <c r="JQ104" s="7">
        <v>550</v>
      </c>
      <c r="JR104" s="7">
        <v>974</v>
      </c>
      <c r="JS104" s="7">
        <v>4818</v>
      </c>
      <c r="JT104" s="7">
        <v>305</v>
      </c>
      <c r="JU104" s="151">
        <v>820.62743187849787</v>
      </c>
      <c r="JV104" s="151">
        <v>6912.6236627731478</v>
      </c>
      <c r="JW104" s="151">
        <v>537.11510625554365</v>
      </c>
      <c r="JX104" s="151">
        <v>74.899532833014504</v>
      </c>
      <c r="JY104" s="7">
        <v>8434</v>
      </c>
      <c r="JZ104" s="7">
        <v>34228</v>
      </c>
      <c r="KA104" s="7">
        <v>2</v>
      </c>
      <c r="KB104" s="7">
        <v>715</v>
      </c>
      <c r="KC104" s="7">
        <v>25</v>
      </c>
      <c r="KD104" s="7">
        <v>8</v>
      </c>
      <c r="KE104" s="7">
        <v>0</v>
      </c>
      <c r="KF104" s="7">
        <v>6</v>
      </c>
      <c r="KG104" s="7">
        <v>72</v>
      </c>
      <c r="KH104" s="7">
        <v>7788</v>
      </c>
      <c r="KI104" s="7">
        <v>25339</v>
      </c>
      <c r="KJ104" s="7">
        <v>1730</v>
      </c>
      <c r="KK104" s="7">
        <v>185</v>
      </c>
      <c r="KL104" s="7">
        <v>3265</v>
      </c>
      <c r="KM104" s="7">
        <v>27503</v>
      </c>
      <c r="KN104" s="7">
        <v>2137</v>
      </c>
      <c r="KO104" s="7">
        <v>298</v>
      </c>
      <c r="KP104" s="7">
        <v>33203</v>
      </c>
      <c r="KQ104" s="7">
        <v>1732</v>
      </c>
      <c r="KR104" s="7">
        <v>4946</v>
      </c>
      <c r="KS104" s="7">
        <v>4946</v>
      </c>
      <c r="KT104" s="7">
        <v>884</v>
      </c>
      <c r="KU104" s="7">
        <v>388</v>
      </c>
      <c r="KV104" s="7">
        <v>879</v>
      </c>
      <c r="KW104" s="7">
        <v>5</v>
      </c>
      <c r="KX104" s="7">
        <v>810</v>
      </c>
      <c r="KY104" s="7">
        <v>367</v>
      </c>
      <c r="KZ104" s="7">
        <v>866</v>
      </c>
      <c r="LA104" s="7">
        <v>3</v>
      </c>
      <c r="LB104" s="7">
        <v>2778</v>
      </c>
      <c r="LC104" s="7">
        <v>2681</v>
      </c>
      <c r="LD104" s="7">
        <v>1713</v>
      </c>
      <c r="LE104" s="7">
        <v>2536</v>
      </c>
      <c r="LF104" s="7">
        <v>23023</v>
      </c>
      <c r="LG104" s="7">
        <v>50</v>
      </c>
      <c r="LH104" s="7">
        <v>4061</v>
      </c>
      <c r="LI104" s="7">
        <v>686</v>
      </c>
      <c r="LJ104" s="7">
        <v>1925</v>
      </c>
      <c r="LK104" s="7">
        <v>13</v>
      </c>
      <c r="LL104" s="7">
        <v>1761</v>
      </c>
      <c r="LM104" s="7">
        <v>524</v>
      </c>
      <c r="LN104" s="7">
        <v>84</v>
      </c>
      <c r="LO104" s="7">
        <v>4448</v>
      </c>
      <c r="LP104" s="7">
        <v>635</v>
      </c>
      <c r="LQ104" s="7">
        <v>2049</v>
      </c>
      <c r="LR104" s="7">
        <v>14</v>
      </c>
      <c r="LS104" s="7">
        <v>1653</v>
      </c>
      <c r="LT104" s="7">
        <v>479</v>
      </c>
      <c r="LU104" s="232">
        <v>5.9656376894000003</v>
      </c>
      <c r="LV104" s="232">
        <v>6.2422831050000003</v>
      </c>
      <c r="LW104" s="232">
        <v>5.7122061407000002</v>
      </c>
      <c r="LX104" s="7">
        <v>8806</v>
      </c>
      <c r="LY104" s="7">
        <v>35042</v>
      </c>
    </row>
    <row r="105" spans="1:337" x14ac:dyDescent="0.25">
      <c r="A105" t="s">
        <v>212</v>
      </c>
      <c r="B105" t="s">
        <v>213</v>
      </c>
      <c r="C105" s="7">
        <v>1936</v>
      </c>
      <c r="D105">
        <v>2235</v>
      </c>
      <c r="F105">
        <f t="shared" si="6"/>
        <v>-2235</v>
      </c>
      <c r="G105">
        <f t="shared" si="7"/>
        <v>-100</v>
      </c>
      <c r="H105">
        <v>1143</v>
      </c>
      <c r="I105">
        <v>1092</v>
      </c>
      <c r="J105">
        <v>0</v>
      </c>
      <c r="K105">
        <v>2235</v>
      </c>
      <c r="L105" s="7">
        <v>117</v>
      </c>
      <c r="M105" s="7">
        <v>148</v>
      </c>
      <c r="N105" s="7">
        <v>130</v>
      </c>
      <c r="O105" s="7">
        <v>120</v>
      </c>
      <c r="P105" s="7">
        <v>102</v>
      </c>
      <c r="Q105" s="7">
        <v>82</v>
      </c>
      <c r="R105" s="7">
        <v>83</v>
      </c>
      <c r="S105" s="7">
        <v>57</v>
      </c>
      <c r="T105" s="7">
        <v>69</v>
      </c>
      <c r="U105" s="7">
        <v>61</v>
      </c>
      <c r="V105" s="7">
        <v>39</v>
      </c>
      <c r="W105" s="7">
        <v>23</v>
      </c>
      <c r="X105" s="7">
        <v>27</v>
      </c>
      <c r="Y105" s="7">
        <v>75</v>
      </c>
      <c r="Z105" s="7">
        <v>10</v>
      </c>
      <c r="AA105" s="7">
        <v>119</v>
      </c>
      <c r="AB105" s="7">
        <v>94</v>
      </c>
      <c r="AC105" s="7">
        <v>127</v>
      </c>
      <c r="AD105" s="7">
        <v>133</v>
      </c>
      <c r="AE105" s="7">
        <v>111</v>
      </c>
      <c r="AF105" s="7">
        <v>72</v>
      </c>
      <c r="AG105" s="7">
        <v>79</v>
      </c>
      <c r="AH105" s="7">
        <v>67</v>
      </c>
      <c r="AI105" s="7">
        <v>81</v>
      </c>
      <c r="AJ105" s="7">
        <v>40</v>
      </c>
      <c r="AK105" s="7">
        <v>37</v>
      </c>
      <c r="AL105" s="7">
        <v>32</v>
      </c>
      <c r="AM105" s="7">
        <v>25</v>
      </c>
      <c r="AN105" s="7">
        <v>63</v>
      </c>
      <c r="AO105" s="7">
        <v>12</v>
      </c>
      <c r="AP105">
        <v>2177</v>
      </c>
      <c r="AQ105">
        <v>34</v>
      </c>
      <c r="AR105">
        <v>2</v>
      </c>
      <c r="AS105" t="s">
        <v>358</v>
      </c>
      <c r="AT105">
        <v>22</v>
      </c>
      <c r="AU105" s="7">
        <v>7</v>
      </c>
      <c r="AV105" s="7">
        <v>4</v>
      </c>
      <c r="AW105" s="7">
        <v>3</v>
      </c>
      <c r="AX105" s="7">
        <v>16</v>
      </c>
      <c r="AY105" s="7">
        <v>7</v>
      </c>
      <c r="AZ105" s="7">
        <v>7</v>
      </c>
      <c r="BA105" s="7">
        <v>0</v>
      </c>
      <c r="BB105" s="7">
        <v>2</v>
      </c>
      <c r="BC105" s="7">
        <v>0</v>
      </c>
      <c r="BD105" s="7">
        <v>0</v>
      </c>
      <c r="BE105" s="7">
        <v>0</v>
      </c>
      <c r="BF105" s="7">
        <v>0</v>
      </c>
      <c r="BG105" s="7">
        <v>1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1</v>
      </c>
      <c r="BN105" s="7">
        <v>0</v>
      </c>
      <c r="BO105" s="7">
        <v>0</v>
      </c>
      <c r="BP105" s="7">
        <v>0</v>
      </c>
      <c r="BQ105" s="7">
        <v>0</v>
      </c>
      <c r="BR105" s="7">
        <v>1</v>
      </c>
      <c r="BS105" s="7">
        <v>1</v>
      </c>
      <c r="BT105" s="7">
        <v>1</v>
      </c>
      <c r="BU105" s="7">
        <v>0</v>
      </c>
      <c r="BV105" s="7">
        <v>1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1</v>
      </c>
      <c r="CC105" s="7">
        <v>0</v>
      </c>
      <c r="CD105" s="7">
        <v>2</v>
      </c>
      <c r="CE105" s="7">
        <v>2</v>
      </c>
      <c r="CF105" s="7">
        <v>0</v>
      </c>
      <c r="CG105" s="7">
        <v>0</v>
      </c>
      <c r="CH105" s="7">
        <v>396</v>
      </c>
      <c r="CI105" s="7">
        <v>73</v>
      </c>
      <c r="CJ105" s="7">
        <v>1956</v>
      </c>
      <c r="CK105" s="7">
        <v>261</v>
      </c>
      <c r="CL105" s="7">
        <v>28</v>
      </c>
      <c r="CM105" s="7">
        <v>45</v>
      </c>
      <c r="CN105" s="7">
        <v>73</v>
      </c>
      <c r="CO105" s="7">
        <v>91</v>
      </c>
      <c r="CP105" s="7">
        <v>80</v>
      </c>
      <c r="CQ105" s="7">
        <v>152</v>
      </c>
      <c r="CR105" s="7">
        <v>360</v>
      </c>
      <c r="CS105" s="7">
        <v>1043</v>
      </c>
      <c r="CT105" s="7">
        <v>192</v>
      </c>
      <c r="CU105" s="7">
        <v>53</v>
      </c>
      <c r="CV105" s="7">
        <v>27</v>
      </c>
      <c r="CW105" s="7">
        <v>53</v>
      </c>
      <c r="CX105" s="7">
        <v>9</v>
      </c>
      <c r="CY105" s="7">
        <v>1281</v>
      </c>
      <c r="CZ105" s="7">
        <v>836</v>
      </c>
      <c r="DA105" s="7">
        <v>15</v>
      </c>
      <c r="DB105" s="7">
        <v>28</v>
      </c>
      <c r="DC105" s="7">
        <v>7</v>
      </c>
      <c r="DD105" s="7">
        <v>842</v>
      </c>
      <c r="DE105" s="7">
        <v>586</v>
      </c>
      <c r="DF105" s="7">
        <v>807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10</v>
      </c>
      <c r="DM105" s="7">
        <v>2</v>
      </c>
      <c r="DN105" s="7">
        <v>1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17</v>
      </c>
      <c r="DU105" s="7">
        <v>17</v>
      </c>
      <c r="DV105" s="7">
        <v>10</v>
      </c>
      <c r="DW105" s="7">
        <v>4</v>
      </c>
      <c r="DX105" s="7">
        <v>10</v>
      </c>
      <c r="DY105" s="7">
        <v>3</v>
      </c>
      <c r="DZ105" s="7">
        <v>13</v>
      </c>
      <c r="EA105" s="7">
        <v>3</v>
      </c>
      <c r="EB105" s="7">
        <v>0</v>
      </c>
      <c r="EC105" s="7">
        <v>2</v>
      </c>
      <c r="ED105" s="7">
        <v>2</v>
      </c>
      <c r="EE105" s="7">
        <v>1</v>
      </c>
      <c r="EF105" s="7">
        <v>4</v>
      </c>
      <c r="EG105" s="7">
        <v>4</v>
      </c>
      <c r="EH105" s="7">
        <v>28</v>
      </c>
      <c r="EI105" s="7">
        <v>12</v>
      </c>
      <c r="EJ105" s="7">
        <v>10</v>
      </c>
      <c r="EK105" s="7">
        <v>13</v>
      </c>
      <c r="EL105" s="7">
        <v>1</v>
      </c>
      <c r="EM105" s="7">
        <v>2</v>
      </c>
      <c r="EN105" s="7">
        <v>4</v>
      </c>
      <c r="EO105" s="7">
        <v>587</v>
      </c>
      <c r="EP105" s="7">
        <v>557</v>
      </c>
      <c r="EQ105" s="7">
        <v>30</v>
      </c>
      <c r="ER105" s="7">
        <v>211</v>
      </c>
      <c r="ES105" s="7">
        <v>116</v>
      </c>
      <c r="ET105" s="7">
        <v>115</v>
      </c>
      <c r="EU105" s="7">
        <v>1</v>
      </c>
      <c r="EV105" s="7">
        <v>691</v>
      </c>
      <c r="EW105" s="134">
        <v>60.565476189999998</v>
      </c>
      <c r="EX105" s="134">
        <v>7.5892857142999999</v>
      </c>
      <c r="EY105" s="134">
        <v>7.4404761905000001</v>
      </c>
      <c r="EZ105" s="134">
        <v>22.619047619</v>
      </c>
      <c r="FA105" s="134">
        <v>1.7857142856999999</v>
      </c>
      <c r="FB105" s="7">
        <v>119</v>
      </c>
      <c r="FC105" s="7">
        <v>261</v>
      </c>
      <c r="FD105" s="7">
        <v>30</v>
      </c>
      <c r="FE105" s="7">
        <v>140</v>
      </c>
      <c r="FF105" s="7">
        <v>0</v>
      </c>
      <c r="FG105" s="7">
        <v>91</v>
      </c>
      <c r="FH105" s="7">
        <v>60</v>
      </c>
      <c r="FI105" s="134">
        <v>37.797619048000001</v>
      </c>
      <c r="FJ105" s="134">
        <v>31.994047619</v>
      </c>
      <c r="FK105" s="134">
        <v>16.517857143000001</v>
      </c>
      <c r="FL105" s="134">
        <v>13.69047619</v>
      </c>
      <c r="FM105" s="151">
        <v>901</v>
      </c>
      <c r="FN105" s="151">
        <v>229</v>
      </c>
      <c r="FO105" s="7">
        <v>16</v>
      </c>
      <c r="FP105" s="7">
        <v>21</v>
      </c>
      <c r="FQ105" s="7">
        <v>5</v>
      </c>
      <c r="FR105" s="7">
        <v>3</v>
      </c>
      <c r="FS105" s="7">
        <v>855</v>
      </c>
      <c r="FT105" s="7">
        <v>2</v>
      </c>
      <c r="FU105" s="7">
        <v>0</v>
      </c>
      <c r="FV105" s="7">
        <v>13</v>
      </c>
      <c r="FW105" s="7">
        <v>873</v>
      </c>
      <c r="FX105" s="7">
        <v>210</v>
      </c>
      <c r="FY105" s="7">
        <v>16</v>
      </c>
      <c r="FZ105" s="7">
        <v>17</v>
      </c>
      <c r="GA105" s="7">
        <v>2</v>
      </c>
      <c r="GB105" s="7">
        <v>0</v>
      </c>
      <c r="GC105" s="7">
        <v>833</v>
      </c>
      <c r="GD105" s="7">
        <v>5</v>
      </c>
      <c r="GE105" s="7">
        <v>0</v>
      </c>
      <c r="GF105" s="7">
        <v>9</v>
      </c>
      <c r="GG105" s="7">
        <v>99</v>
      </c>
      <c r="GH105" s="7">
        <v>123</v>
      </c>
      <c r="GI105" s="7">
        <v>112</v>
      </c>
      <c r="GJ105" s="7">
        <v>86</v>
      </c>
      <c r="GK105" s="7">
        <v>74</v>
      </c>
      <c r="GL105" s="7">
        <v>62</v>
      </c>
      <c r="GM105" s="7">
        <v>69</v>
      </c>
      <c r="GN105" s="7">
        <v>47</v>
      </c>
      <c r="GO105" s="7">
        <v>51</v>
      </c>
      <c r="GP105" s="7">
        <v>50</v>
      </c>
      <c r="GQ105" s="7">
        <v>27</v>
      </c>
      <c r="GR105" s="7">
        <v>18</v>
      </c>
      <c r="GS105" s="7">
        <v>23</v>
      </c>
      <c r="GT105" s="7">
        <v>14</v>
      </c>
      <c r="GU105" s="7">
        <v>17</v>
      </c>
      <c r="GV105" s="7">
        <v>14</v>
      </c>
      <c r="GW105" s="7">
        <v>5</v>
      </c>
      <c r="GX105" s="7">
        <v>9</v>
      </c>
      <c r="GY105" s="7">
        <v>103</v>
      </c>
      <c r="GZ105" s="7">
        <v>75</v>
      </c>
      <c r="HA105" s="7">
        <v>101</v>
      </c>
      <c r="HB105" s="7">
        <v>97</v>
      </c>
      <c r="HC105" s="7">
        <v>81</v>
      </c>
      <c r="HD105" s="7">
        <v>60</v>
      </c>
      <c r="HE105" s="7">
        <v>68</v>
      </c>
      <c r="HF105" s="7">
        <v>61</v>
      </c>
      <c r="HG105" s="7">
        <v>66</v>
      </c>
      <c r="HH105" s="7">
        <v>33</v>
      </c>
      <c r="HI105" s="7">
        <v>32</v>
      </c>
      <c r="HJ105" s="7">
        <v>26</v>
      </c>
      <c r="HK105" s="7">
        <v>20</v>
      </c>
      <c r="HL105" s="7">
        <v>15</v>
      </c>
      <c r="HM105" s="7">
        <v>16</v>
      </c>
      <c r="HN105" s="7">
        <v>10</v>
      </c>
      <c r="HO105" s="7">
        <v>4</v>
      </c>
      <c r="HP105" s="7">
        <v>3</v>
      </c>
      <c r="HQ105" s="7">
        <v>458</v>
      </c>
      <c r="HR105" s="7">
        <v>0</v>
      </c>
      <c r="HS105" s="7">
        <v>0</v>
      </c>
      <c r="HT105" s="7">
        <v>0</v>
      </c>
      <c r="HU105" s="7">
        <v>1</v>
      </c>
      <c r="HV105" s="7">
        <v>0</v>
      </c>
      <c r="HW105" s="7">
        <v>0</v>
      </c>
      <c r="HX105" s="7">
        <v>16</v>
      </c>
      <c r="HY105" s="7">
        <v>28</v>
      </c>
      <c r="HZ105" s="7">
        <v>45</v>
      </c>
      <c r="IA105" s="7">
        <v>72</v>
      </c>
      <c r="IB105" s="7">
        <v>91</v>
      </c>
      <c r="IC105" s="7">
        <v>80</v>
      </c>
      <c r="ID105" s="7">
        <v>63</v>
      </c>
      <c r="IE105" s="7">
        <v>39</v>
      </c>
      <c r="IF105" s="7">
        <v>25</v>
      </c>
      <c r="IG105" s="7">
        <v>25</v>
      </c>
      <c r="IH105" s="7">
        <v>35</v>
      </c>
      <c r="II105" s="7">
        <v>60</v>
      </c>
      <c r="IJ105" s="7">
        <v>167</v>
      </c>
      <c r="IK105" s="7">
        <v>123</v>
      </c>
      <c r="IL105" s="7">
        <v>50</v>
      </c>
      <c r="IM105" s="7">
        <v>23</v>
      </c>
      <c r="IN105" s="7">
        <v>2</v>
      </c>
      <c r="IO105" s="7">
        <v>1</v>
      </c>
      <c r="IP105" s="7">
        <v>1</v>
      </c>
      <c r="IQ105" s="7">
        <v>214</v>
      </c>
      <c r="IR105" s="7">
        <v>166</v>
      </c>
      <c r="IS105" s="7">
        <v>59</v>
      </c>
      <c r="IT105" s="7">
        <v>19</v>
      </c>
      <c r="IU105" s="7">
        <v>4</v>
      </c>
      <c r="IV105" s="7">
        <v>223</v>
      </c>
      <c r="IW105" s="7">
        <v>57</v>
      </c>
      <c r="IX105" s="7">
        <v>1</v>
      </c>
      <c r="IY105" s="7">
        <v>7</v>
      </c>
      <c r="IZ105" s="7">
        <v>1</v>
      </c>
      <c r="JA105" s="7">
        <v>178</v>
      </c>
      <c r="JB105" s="7">
        <v>200</v>
      </c>
      <c r="JC105" s="7">
        <v>195</v>
      </c>
      <c r="JD105" s="7">
        <v>24</v>
      </c>
      <c r="JE105" s="7">
        <v>8</v>
      </c>
      <c r="JF105" s="151">
        <v>440.01803227743818</v>
      </c>
      <c r="JG105" s="151">
        <v>26.020297101021583</v>
      </c>
      <c r="JH105" s="7">
        <v>140</v>
      </c>
      <c r="JI105" s="7">
        <v>322</v>
      </c>
      <c r="JJ105" s="7">
        <v>5</v>
      </c>
      <c r="JK105" s="7">
        <v>1</v>
      </c>
      <c r="JL105" s="7">
        <v>250</v>
      </c>
      <c r="JM105" s="7">
        <v>96</v>
      </c>
      <c r="JN105" s="7">
        <v>48</v>
      </c>
      <c r="JO105" s="7">
        <v>242</v>
      </c>
      <c r="JP105" s="7">
        <v>317</v>
      </c>
      <c r="JQ105" s="7">
        <v>20</v>
      </c>
      <c r="JR105" s="7">
        <v>27</v>
      </c>
      <c r="JS105" s="7">
        <v>41</v>
      </c>
      <c r="JT105" s="7">
        <v>0</v>
      </c>
      <c r="JU105" s="151">
        <v>29.616598326366031</v>
      </c>
      <c r="JV105" s="151">
        <v>392.41992782434988</v>
      </c>
      <c r="JW105" s="151">
        <v>16.712223341306544</v>
      </c>
      <c r="JX105" s="151">
        <v>1.269282785415687</v>
      </c>
      <c r="JY105" s="7">
        <v>444</v>
      </c>
      <c r="JZ105" s="7">
        <v>2179</v>
      </c>
      <c r="KA105" s="7">
        <v>0</v>
      </c>
      <c r="KB105" s="7">
        <v>0</v>
      </c>
      <c r="KC105" s="7">
        <v>0</v>
      </c>
      <c r="KD105" s="7">
        <v>3</v>
      </c>
      <c r="KE105" s="7">
        <v>0</v>
      </c>
      <c r="KF105" s="7">
        <v>0</v>
      </c>
      <c r="KG105" s="7">
        <v>53</v>
      </c>
      <c r="KH105" s="7">
        <v>601</v>
      </c>
      <c r="KI105" s="7">
        <v>1588</v>
      </c>
      <c r="KJ105" s="7">
        <v>19</v>
      </c>
      <c r="KK105" s="7">
        <v>6</v>
      </c>
      <c r="KL105" s="7">
        <v>140</v>
      </c>
      <c r="KM105" s="7">
        <v>1855</v>
      </c>
      <c r="KN105" s="7">
        <v>79</v>
      </c>
      <c r="KO105" s="7">
        <v>6</v>
      </c>
      <c r="KP105" s="7">
        <v>2080</v>
      </c>
      <c r="KQ105" s="7">
        <v>123</v>
      </c>
      <c r="KR105" s="7">
        <v>373</v>
      </c>
      <c r="KS105" s="7">
        <v>373</v>
      </c>
      <c r="KT105" s="7">
        <v>63</v>
      </c>
      <c r="KU105" s="7">
        <v>22</v>
      </c>
      <c r="KV105" s="7">
        <v>72</v>
      </c>
      <c r="KW105" s="7">
        <v>0</v>
      </c>
      <c r="KX105" s="7">
        <v>46</v>
      </c>
      <c r="KY105" s="7">
        <v>31</v>
      </c>
      <c r="KZ105" s="7">
        <v>51</v>
      </c>
      <c r="LA105" s="7">
        <v>0</v>
      </c>
      <c r="LB105" s="7">
        <v>196</v>
      </c>
      <c r="LC105" s="7">
        <v>161</v>
      </c>
      <c r="LD105" s="7">
        <v>116</v>
      </c>
      <c r="LE105" s="7">
        <v>182</v>
      </c>
      <c r="LF105" s="7">
        <v>1478</v>
      </c>
      <c r="LG105" s="7">
        <v>2</v>
      </c>
      <c r="LH105" s="7">
        <v>252</v>
      </c>
      <c r="LI105" s="7">
        <v>46</v>
      </c>
      <c r="LJ105" s="7">
        <v>133</v>
      </c>
      <c r="LK105" s="7">
        <v>0</v>
      </c>
      <c r="LL105" s="7">
        <v>102</v>
      </c>
      <c r="LM105" s="7">
        <v>49</v>
      </c>
      <c r="LN105" s="7">
        <v>4</v>
      </c>
      <c r="LO105" s="7">
        <v>250</v>
      </c>
      <c r="LP105" s="7">
        <v>25</v>
      </c>
      <c r="LQ105" s="7">
        <v>144</v>
      </c>
      <c r="LR105" s="7">
        <v>0</v>
      </c>
      <c r="LS105" s="7">
        <v>95</v>
      </c>
      <c r="LT105" s="7">
        <v>33</v>
      </c>
      <c r="LU105" s="232">
        <v>5.9253731343</v>
      </c>
      <c r="LV105" s="232">
        <v>6.2098092642999996</v>
      </c>
      <c r="LW105" s="232">
        <v>5.6432432431999997</v>
      </c>
      <c r="LX105" s="7">
        <v>468</v>
      </c>
      <c r="LY105" s="7">
        <v>2214</v>
      </c>
    </row>
    <row r="106" spans="1:337" x14ac:dyDescent="0.25">
      <c r="A106" t="s">
        <v>214</v>
      </c>
      <c r="B106" t="s">
        <v>215</v>
      </c>
      <c r="C106" s="7">
        <v>271674</v>
      </c>
      <c r="D106">
        <v>320451</v>
      </c>
      <c r="F106">
        <f t="shared" si="6"/>
        <v>-320451</v>
      </c>
      <c r="G106">
        <f t="shared" si="7"/>
        <v>-100</v>
      </c>
      <c r="H106">
        <v>154221</v>
      </c>
      <c r="I106">
        <v>166230</v>
      </c>
      <c r="J106">
        <v>233185</v>
      </c>
      <c r="K106">
        <v>87266</v>
      </c>
      <c r="L106" s="7">
        <v>16205</v>
      </c>
      <c r="M106" s="7">
        <v>16587</v>
      </c>
      <c r="N106" s="7">
        <v>16390</v>
      </c>
      <c r="O106" s="7">
        <v>16331</v>
      </c>
      <c r="P106" s="7">
        <v>13347</v>
      </c>
      <c r="Q106" s="7">
        <v>11500</v>
      </c>
      <c r="R106" s="7">
        <v>11016</v>
      </c>
      <c r="S106" s="7">
        <v>10383</v>
      </c>
      <c r="T106" s="7">
        <v>9103</v>
      </c>
      <c r="U106" s="7">
        <v>8028</v>
      </c>
      <c r="V106" s="7">
        <v>7064</v>
      </c>
      <c r="W106" s="7">
        <v>5399</v>
      </c>
      <c r="X106" s="7">
        <v>4104</v>
      </c>
      <c r="Y106" s="7">
        <v>8516</v>
      </c>
      <c r="Z106" s="7">
        <v>248</v>
      </c>
      <c r="AA106" s="7">
        <v>15625</v>
      </c>
      <c r="AB106" s="7">
        <v>15803</v>
      </c>
      <c r="AC106" s="7">
        <v>15822</v>
      </c>
      <c r="AD106" s="7">
        <v>17184</v>
      </c>
      <c r="AE106" s="7">
        <v>15714</v>
      </c>
      <c r="AF106" s="7">
        <v>13727</v>
      </c>
      <c r="AG106" s="7">
        <v>13090</v>
      </c>
      <c r="AH106" s="7">
        <v>12373</v>
      </c>
      <c r="AI106" s="7">
        <v>10528</v>
      </c>
      <c r="AJ106" s="7">
        <v>8887</v>
      </c>
      <c r="AK106" s="7">
        <v>7508</v>
      </c>
      <c r="AL106" s="7">
        <v>5573</v>
      </c>
      <c r="AM106" s="7">
        <v>4516</v>
      </c>
      <c r="AN106" s="7">
        <v>9623</v>
      </c>
      <c r="AO106" s="7">
        <v>257</v>
      </c>
      <c r="AP106">
        <v>292254</v>
      </c>
      <c r="AQ106">
        <v>16805</v>
      </c>
      <c r="AR106">
        <v>406</v>
      </c>
      <c r="AS106">
        <v>9865</v>
      </c>
      <c r="AT106">
        <v>1121</v>
      </c>
      <c r="AU106" s="7">
        <v>4310</v>
      </c>
      <c r="AV106" s="7">
        <v>2303</v>
      </c>
      <c r="AW106" s="7">
        <v>2007</v>
      </c>
      <c r="AX106" s="7">
        <v>3206</v>
      </c>
      <c r="AY106" s="7">
        <v>4310</v>
      </c>
      <c r="AZ106" s="7">
        <v>3340</v>
      </c>
      <c r="BA106" s="7">
        <v>970</v>
      </c>
      <c r="BB106" s="7">
        <v>17</v>
      </c>
      <c r="BC106" s="7">
        <v>16</v>
      </c>
      <c r="BD106" s="7">
        <v>98</v>
      </c>
      <c r="BE106" s="7">
        <v>92</v>
      </c>
      <c r="BF106" s="7">
        <v>163</v>
      </c>
      <c r="BG106" s="7">
        <v>153</v>
      </c>
      <c r="BH106" s="7">
        <v>210</v>
      </c>
      <c r="BI106" s="7">
        <v>238</v>
      </c>
      <c r="BJ106" s="7">
        <v>181</v>
      </c>
      <c r="BK106" s="7">
        <v>183</v>
      </c>
      <c r="BL106" s="7">
        <v>144</v>
      </c>
      <c r="BM106" s="7">
        <v>150</v>
      </c>
      <c r="BN106" s="7">
        <v>155</v>
      </c>
      <c r="BO106" s="7">
        <v>137</v>
      </c>
      <c r="BP106" s="7">
        <v>164</v>
      </c>
      <c r="BQ106" s="7">
        <v>153</v>
      </c>
      <c r="BR106" s="7">
        <v>188</v>
      </c>
      <c r="BS106" s="7">
        <v>126</v>
      </c>
      <c r="BT106" s="7">
        <v>162</v>
      </c>
      <c r="BU106" s="7">
        <v>116</v>
      </c>
      <c r="BV106" s="7">
        <v>172</v>
      </c>
      <c r="BW106" s="7">
        <v>125</v>
      </c>
      <c r="BX106" s="7">
        <v>144</v>
      </c>
      <c r="BY106" s="7">
        <v>114</v>
      </c>
      <c r="BZ106" s="7">
        <v>118</v>
      </c>
      <c r="CA106" s="7">
        <v>109</v>
      </c>
      <c r="CB106" s="7">
        <v>387</v>
      </c>
      <c r="CC106" s="7">
        <v>295</v>
      </c>
      <c r="CD106" s="7">
        <v>2080</v>
      </c>
      <c r="CE106" s="7">
        <v>1789</v>
      </c>
      <c r="CF106" s="7">
        <v>2</v>
      </c>
      <c r="CG106" s="7">
        <v>1</v>
      </c>
      <c r="CH106" s="7">
        <v>57793</v>
      </c>
      <c r="CI106" s="7">
        <v>23964</v>
      </c>
      <c r="CJ106" s="7">
        <v>234687</v>
      </c>
      <c r="CK106" s="7">
        <v>83709</v>
      </c>
      <c r="CL106" s="7">
        <v>7515</v>
      </c>
      <c r="CM106" s="7">
        <v>12611</v>
      </c>
      <c r="CN106" s="7">
        <v>16392</v>
      </c>
      <c r="CO106" s="7">
        <v>18666</v>
      </c>
      <c r="CP106" s="7">
        <v>12962</v>
      </c>
      <c r="CQ106" s="7">
        <v>13611</v>
      </c>
      <c r="CR106" s="7">
        <v>53457</v>
      </c>
      <c r="CS106" s="7">
        <v>131601</v>
      </c>
      <c r="CT106" s="7">
        <v>23222</v>
      </c>
      <c r="CU106" s="7">
        <v>6220</v>
      </c>
      <c r="CV106" s="7">
        <v>3874</v>
      </c>
      <c r="CW106" s="7">
        <v>13512</v>
      </c>
      <c r="CX106" s="7">
        <v>3685</v>
      </c>
      <c r="CY106" s="7">
        <v>179991</v>
      </c>
      <c r="CZ106" s="7">
        <v>114196</v>
      </c>
      <c r="DA106" s="7">
        <v>10799</v>
      </c>
      <c r="DB106" s="7">
        <v>7515</v>
      </c>
      <c r="DC106" s="7">
        <v>1403</v>
      </c>
      <c r="DD106" s="7">
        <v>20462</v>
      </c>
      <c r="DE106" s="7">
        <v>16889</v>
      </c>
      <c r="DF106" s="7">
        <v>49915</v>
      </c>
      <c r="DG106" s="7">
        <v>8779</v>
      </c>
      <c r="DH106" s="7">
        <v>21734</v>
      </c>
      <c r="DI106" s="7">
        <v>0</v>
      </c>
      <c r="DJ106" s="7">
        <v>0</v>
      </c>
      <c r="DK106" s="7">
        <v>202672</v>
      </c>
      <c r="DL106" s="7">
        <v>398</v>
      </c>
      <c r="DM106" s="7">
        <v>47</v>
      </c>
      <c r="DN106" s="7">
        <v>55</v>
      </c>
      <c r="DO106" s="7">
        <v>3</v>
      </c>
      <c r="DP106" s="7">
        <v>3</v>
      </c>
      <c r="DQ106" s="7">
        <v>0</v>
      </c>
      <c r="DR106" s="7">
        <v>0</v>
      </c>
      <c r="DS106" s="7">
        <v>1</v>
      </c>
      <c r="DT106" s="7">
        <v>2350</v>
      </c>
      <c r="DU106" s="7">
        <v>2517</v>
      </c>
      <c r="DV106" s="7">
        <v>1636</v>
      </c>
      <c r="DW106" s="7">
        <v>1695</v>
      </c>
      <c r="DX106" s="7">
        <v>663</v>
      </c>
      <c r="DY106" s="7">
        <v>519</v>
      </c>
      <c r="DZ106" s="7">
        <v>705</v>
      </c>
      <c r="EA106" s="7">
        <v>558</v>
      </c>
      <c r="EB106" s="7">
        <v>282</v>
      </c>
      <c r="EC106" s="7">
        <v>301</v>
      </c>
      <c r="ED106" s="7">
        <v>211</v>
      </c>
      <c r="EE106" s="7">
        <v>209</v>
      </c>
      <c r="EF106" s="7">
        <v>504</v>
      </c>
      <c r="EG106" s="7">
        <v>473</v>
      </c>
      <c r="EH106" s="7">
        <v>3475</v>
      </c>
      <c r="EI106" s="7">
        <v>2374</v>
      </c>
      <c r="EJ106" s="7">
        <v>796</v>
      </c>
      <c r="EK106" s="7">
        <v>767</v>
      </c>
      <c r="EL106" s="7">
        <v>399</v>
      </c>
      <c r="EM106" s="7">
        <v>268</v>
      </c>
      <c r="EN106" s="7">
        <v>582</v>
      </c>
      <c r="EO106" s="7">
        <v>84275</v>
      </c>
      <c r="EP106" s="7">
        <v>81668</v>
      </c>
      <c r="EQ106" s="7">
        <v>2607</v>
      </c>
      <c r="ER106" s="7">
        <v>29610</v>
      </c>
      <c r="ES106" s="7">
        <v>42604</v>
      </c>
      <c r="ET106" s="7">
        <v>41695</v>
      </c>
      <c r="EU106" s="7">
        <v>909</v>
      </c>
      <c r="EV106" s="7">
        <v>85151</v>
      </c>
      <c r="EW106" s="134">
        <v>18.035057346999999</v>
      </c>
      <c r="EX106" s="134">
        <v>14.660895910000001</v>
      </c>
      <c r="EY106" s="134">
        <v>22.460939191000001</v>
      </c>
      <c r="EZ106" s="134">
        <v>43.486691192000002</v>
      </c>
      <c r="FA106" s="134">
        <v>1.3564163601000001</v>
      </c>
      <c r="FB106" s="7">
        <v>10444</v>
      </c>
      <c r="FC106" s="7">
        <v>36049</v>
      </c>
      <c r="FD106" s="7">
        <v>4077</v>
      </c>
      <c r="FE106" s="7">
        <v>25148</v>
      </c>
      <c r="FF106" s="7">
        <v>253</v>
      </c>
      <c r="FG106" s="7">
        <v>23856</v>
      </c>
      <c r="FH106" s="7">
        <v>26689</v>
      </c>
      <c r="FI106" s="134">
        <v>22.113828175999998</v>
      </c>
      <c r="FJ106" s="134">
        <v>32.944384331999998</v>
      </c>
      <c r="FK106" s="134">
        <v>39.565462021000002</v>
      </c>
      <c r="FL106" s="134">
        <v>5.3763254707000003</v>
      </c>
      <c r="FM106" s="151">
        <v>87713</v>
      </c>
      <c r="FN106" s="151">
        <v>65936</v>
      </c>
      <c r="FO106" s="7">
        <v>40163</v>
      </c>
      <c r="FP106" s="7">
        <v>8211</v>
      </c>
      <c r="FQ106" s="7">
        <v>2025</v>
      </c>
      <c r="FR106" s="7">
        <v>2943</v>
      </c>
      <c r="FS106" s="7">
        <v>30863</v>
      </c>
      <c r="FT106" s="7">
        <v>1636</v>
      </c>
      <c r="FU106" s="7">
        <v>2884</v>
      </c>
      <c r="FV106" s="7">
        <v>572</v>
      </c>
      <c r="FW106" s="7">
        <v>100709</v>
      </c>
      <c r="FX106" s="7">
        <v>64866</v>
      </c>
      <c r="FY106" s="7">
        <v>44940</v>
      </c>
      <c r="FZ106" s="7">
        <v>9938</v>
      </c>
      <c r="GA106" s="7">
        <v>2640</v>
      </c>
      <c r="GB106" s="7">
        <v>2907</v>
      </c>
      <c r="GC106" s="7">
        <v>37769</v>
      </c>
      <c r="GD106" s="7">
        <v>1600</v>
      </c>
      <c r="GE106" s="7">
        <v>2218</v>
      </c>
      <c r="GF106" s="7">
        <v>655</v>
      </c>
      <c r="GG106" s="7">
        <v>9311</v>
      </c>
      <c r="GH106" s="7">
        <v>9546</v>
      </c>
      <c r="GI106" s="7">
        <v>9537</v>
      </c>
      <c r="GJ106" s="7">
        <v>8982</v>
      </c>
      <c r="GK106" s="7">
        <v>6434</v>
      </c>
      <c r="GL106" s="7">
        <v>5922</v>
      </c>
      <c r="GM106" s="7">
        <v>6082</v>
      </c>
      <c r="GN106" s="7">
        <v>5869</v>
      </c>
      <c r="GO106" s="7">
        <v>5173</v>
      </c>
      <c r="GP106" s="7">
        <v>4647</v>
      </c>
      <c r="GQ106" s="7">
        <v>4159</v>
      </c>
      <c r="GR106" s="7">
        <v>3203</v>
      </c>
      <c r="GS106" s="7">
        <v>2583</v>
      </c>
      <c r="GT106" s="7">
        <v>2070</v>
      </c>
      <c r="GU106" s="7">
        <v>1729</v>
      </c>
      <c r="GV106" s="7">
        <v>1166</v>
      </c>
      <c r="GW106" s="7">
        <v>736</v>
      </c>
      <c r="GX106" s="7">
        <v>544</v>
      </c>
      <c r="GY106" s="7">
        <v>8769</v>
      </c>
      <c r="GZ106" s="7">
        <v>9111</v>
      </c>
      <c r="HA106" s="7">
        <v>9271</v>
      </c>
      <c r="HB106" s="7">
        <v>9682</v>
      </c>
      <c r="HC106" s="7">
        <v>8259</v>
      </c>
      <c r="HD106" s="7">
        <v>7932</v>
      </c>
      <c r="HE106" s="7">
        <v>8090</v>
      </c>
      <c r="HF106" s="7">
        <v>7745</v>
      </c>
      <c r="HG106" s="7">
        <v>6702</v>
      </c>
      <c r="HH106" s="7">
        <v>5766</v>
      </c>
      <c r="HI106" s="7">
        <v>4992</v>
      </c>
      <c r="HJ106" s="7">
        <v>3856</v>
      </c>
      <c r="HK106" s="7">
        <v>3236</v>
      </c>
      <c r="HL106" s="7">
        <v>2424</v>
      </c>
      <c r="HM106" s="7">
        <v>2007</v>
      </c>
      <c r="HN106" s="7">
        <v>1316</v>
      </c>
      <c r="HO106" s="7">
        <v>865</v>
      </c>
      <c r="HP106" s="7">
        <v>658</v>
      </c>
      <c r="HQ106" s="7">
        <v>77400</v>
      </c>
      <c r="HR106" s="7">
        <v>874</v>
      </c>
      <c r="HS106" s="7">
        <v>3176</v>
      </c>
      <c r="HT106" s="7">
        <v>29</v>
      </c>
      <c r="HU106" s="7">
        <v>33</v>
      </c>
      <c r="HV106" s="7">
        <v>2</v>
      </c>
      <c r="HW106" s="7">
        <v>5</v>
      </c>
      <c r="HX106" s="7">
        <v>377</v>
      </c>
      <c r="HY106" s="7">
        <v>7499</v>
      </c>
      <c r="HZ106" s="7">
        <v>12604</v>
      </c>
      <c r="IA106" s="7">
        <v>16388</v>
      </c>
      <c r="IB106" s="7">
        <v>18657</v>
      </c>
      <c r="IC106" s="7">
        <v>12960</v>
      </c>
      <c r="ID106" s="7">
        <v>6745</v>
      </c>
      <c r="IE106" s="7">
        <v>3084</v>
      </c>
      <c r="IF106" s="7">
        <v>1712</v>
      </c>
      <c r="IG106" s="7">
        <v>2068</v>
      </c>
      <c r="IH106" s="7">
        <v>12077</v>
      </c>
      <c r="II106" s="7">
        <v>19628</v>
      </c>
      <c r="IJ106" s="7">
        <v>21458</v>
      </c>
      <c r="IK106" s="7">
        <v>15164</v>
      </c>
      <c r="IL106" s="7">
        <v>7460</v>
      </c>
      <c r="IM106" s="7">
        <v>3319</v>
      </c>
      <c r="IN106" s="7">
        <v>1240</v>
      </c>
      <c r="IO106" s="7">
        <v>582</v>
      </c>
      <c r="IP106" s="7">
        <v>432</v>
      </c>
      <c r="IQ106" s="7">
        <v>35805</v>
      </c>
      <c r="IR106" s="7">
        <v>30875</v>
      </c>
      <c r="IS106" s="7">
        <v>11812</v>
      </c>
      <c r="IT106" s="7">
        <v>2400</v>
      </c>
      <c r="IU106" s="7">
        <v>601</v>
      </c>
      <c r="IV106" s="7">
        <v>44861</v>
      </c>
      <c r="IW106" s="7">
        <v>8430</v>
      </c>
      <c r="IX106" s="7">
        <v>3269</v>
      </c>
      <c r="IY106" s="7">
        <v>809</v>
      </c>
      <c r="IZ106" s="7">
        <v>65</v>
      </c>
      <c r="JA106" s="7">
        <v>23939</v>
      </c>
      <c r="JB106" s="7">
        <v>54483</v>
      </c>
      <c r="JC106" s="7">
        <v>19983</v>
      </c>
      <c r="JD106" s="7">
        <v>414</v>
      </c>
      <c r="JE106" s="7">
        <v>2778</v>
      </c>
      <c r="JF106" s="151">
        <v>79485.797496365951</v>
      </c>
      <c r="JG106" s="151">
        <v>1994.1357106156272</v>
      </c>
      <c r="JH106" s="7">
        <v>11839</v>
      </c>
      <c r="JI106" s="7">
        <v>53186</v>
      </c>
      <c r="JJ106" s="7">
        <v>16327</v>
      </c>
      <c r="JK106" s="7">
        <v>365</v>
      </c>
      <c r="JL106" s="7">
        <v>65139</v>
      </c>
      <c r="JM106" s="7">
        <v>40170</v>
      </c>
      <c r="JN106" s="7">
        <v>20595</v>
      </c>
      <c r="JO106" s="7">
        <v>62404</v>
      </c>
      <c r="JP106" s="7">
        <v>74462</v>
      </c>
      <c r="JQ106" s="7">
        <v>16881</v>
      </c>
      <c r="JR106" s="7">
        <v>19780</v>
      </c>
      <c r="JS106" s="7">
        <v>49133</v>
      </c>
      <c r="JT106" s="7">
        <v>10648</v>
      </c>
      <c r="JU106" s="151">
        <v>28103.036678898701</v>
      </c>
      <c r="JV106" s="151">
        <v>49145.456613682298</v>
      </c>
      <c r="JW106" s="151">
        <v>1835.960640085209</v>
      </c>
      <c r="JX106" s="151">
        <v>401.34356369974569</v>
      </c>
      <c r="JY106" s="7">
        <v>80124</v>
      </c>
      <c r="JZ106" s="7">
        <v>305277</v>
      </c>
      <c r="KA106" s="7">
        <v>2582</v>
      </c>
      <c r="KB106" s="7">
        <v>9525</v>
      </c>
      <c r="KC106" s="7">
        <v>79</v>
      </c>
      <c r="KD106" s="7">
        <v>80</v>
      </c>
      <c r="KE106" s="7">
        <v>17</v>
      </c>
      <c r="KF106" s="7">
        <v>10</v>
      </c>
      <c r="KG106" s="7">
        <v>1243</v>
      </c>
      <c r="KH106" s="7">
        <v>50949</v>
      </c>
      <c r="KI106" s="7">
        <v>207115</v>
      </c>
      <c r="KJ106" s="7">
        <v>58880</v>
      </c>
      <c r="KK106" s="7">
        <v>1345</v>
      </c>
      <c r="KL106" s="7">
        <v>109445</v>
      </c>
      <c r="KM106" s="7">
        <v>191393</v>
      </c>
      <c r="KN106" s="7">
        <v>7150</v>
      </c>
      <c r="KO106" s="7">
        <v>1563</v>
      </c>
      <c r="KP106" s="7">
        <v>309551</v>
      </c>
      <c r="KQ106" s="7">
        <v>7766</v>
      </c>
      <c r="KR106" s="7">
        <v>46693</v>
      </c>
      <c r="KS106" s="7">
        <v>46693</v>
      </c>
      <c r="KT106" s="7">
        <v>7527</v>
      </c>
      <c r="KU106" s="7">
        <v>3134</v>
      </c>
      <c r="KV106" s="7">
        <v>8262</v>
      </c>
      <c r="KW106" s="7">
        <v>12</v>
      </c>
      <c r="KX106" s="7">
        <v>7169</v>
      </c>
      <c r="KY106" s="7">
        <v>3135</v>
      </c>
      <c r="KZ106" s="7">
        <v>8231</v>
      </c>
      <c r="LA106" s="7">
        <v>28</v>
      </c>
      <c r="LB106" s="7">
        <v>24999</v>
      </c>
      <c r="LC106" s="7">
        <v>24266</v>
      </c>
      <c r="LD106" s="7">
        <v>7256</v>
      </c>
      <c r="LE106" s="7">
        <v>13342</v>
      </c>
      <c r="LF106" s="7">
        <v>223514</v>
      </c>
      <c r="LG106" s="7">
        <v>317</v>
      </c>
      <c r="LH106" s="7">
        <v>29391</v>
      </c>
      <c r="LI106" s="7">
        <v>5455</v>
      </c>
      <c r="LJ106" s="7">
        <v>19923</v>
      </c>
      <c r="LK106" s="7">
        <v>115</v>
      </c>
      <c r="LL106" s="7">
        <v>21403</v>
      </c>
      <c r="LM106" s="7">
        <v>18803</v>
      </c>
      <c r="LN106" s="7">
        <v>313</v>
      </c>
      <c r="LO106" s="7">
        <v>34715</v>
      </c>
      <c r="LP106" s="7">
        <v>5213</v>
      </c>
      <c r="LQ106" s="7">
        <v>22968</v>
      </c>
      <c r="LR106" s="7">
        <v>469</v>
      </c>
      <c r="LS106" s="7">
        <v>21935</v>
      </c>
      <c r="LT106" s="7">
        <v>18218</v>
      </c>
      <c r="LU106" s="232">
        <v>8.3191098297000003</v>
      </c>
      <c r="LV106" s="232">
        <v>8.6508961607000003</v>
      </c>
      <c r="LW106" s="232">
        <v>8.0263472545999992</v>
      </c>
      <c r="LX106" s="7">
        <v>81717</v>
      </c>
      <c r="LY106" s="7">
        <v>318289</v>
      </c>
    </row>
    <row r="107" spans="1:337" x14ac:dyDescent="0.25">
      <c r="A107" t="s">
        <v>216</v>
      </c>
      <c r="B107" t="s">
        <v>217</v>
      </c>
      <c r="C107" s="7">
        <v>3639</v>
      </c>
      <c r="D107">
        <v>4121</v>
      </c>
      <c r="F107">
        <f t="shared" si="6"/>
        <v>-4121</v>
      </c>
      <c r="G107">
        <f t="shared" si="7"/>
        <v>-100</v>
      </c>
      <c r="H107">
        <v>2002</v>
      </c>
      <c r="I107">
        <v>2119</v>
      </c>
      <c r="J107">
        <v>0</v>
      </c>
      <c r="K107">
        <v>4121</v>
      </c>
      <c r="L107" s="7">
        <v>248</v>
      </c>
      <c r="M107" s="7">
        <v>260</v>
      </c>
      <c r="N107" s="7">
        <v>265</v>
      </c>
      <c r="O107" s="7">
        <v>215</v>
      </c>
      <c r="P107" s="7">
        <v>156</v>
      </c>
      <c r="Q107" s="7">
        <v>142</v>
      </c>
      <c r="R107" s="7">
        <v>122</v>
      </c>
      <c r="S107" s="7">
        <v>108</v>
      </c>
      <c r="T107" s="7">
        <v>92</v>
      </c>
      <c r="U107" s="7">
        <v>85</v>
      </c>
      <c r="V107" s="7">
        <v>63</v>
      </c>
      <c r="W107" s="7">
        <v>62</v>
      </c>
      <c r="X107" s="7">
        <v>47</v>
      </c>
      <c r="Y107" s="7">
        <v>137</v>
      </c>
      <c r="Z107" s="7">
        <v>0</v>
      </c>
      <c r="AA107" s="7">
        <v>220</v>
      </c>
      <c r="AB107" s="7">
        <v>272</v>
      </c>
      <c r="AC107" s="7">
        <v>270</v>
      </c>
      <c r="AD107" s="7">
        <v>245</v>
      </c>
      <c r="AE107" s="7">
        <v>175</v>
      </c>
      <c r="AF107" s="7">
        <v>123</v>
      </c>
      <c r="AG107" s="7">
        <v>153</v>
      </c>
      <c r="AH107" s="7">
        <v>131</v>
      </c>
      <c r="AI107" s="7">
        <v>89</v>
      </c>
      <c r="AJ107" s="7">
        <v>83</v>
      </c>
      <c r="AK107" s="7">
        <v>81</v>
      </c>
      <c r="AL107" s="7">
        <v>67</v>
      </c>
      <c r="AM107" s="7">
        <v>63</v>
      </c>
      <c r="AN107" s="7">
        <v>147</v>
      </c>
      <c r="AO107" s="7">
        <v>0</v>
      </c>
      <c r="AP107">
        <v>4093</v>
      </c>
      <c r="AQ107">
        <v>21</v>
      </c>
      <c r="AR107">
        <v>3</v>
      </c>
      <c r="AS107" t="s">
        <v>358</v>
      </c>
      <c r="AT107">
        <v>4</v>
      </c>
      <c r="AU107" s="7">
        <v>3661</v>
      </c>
      <c r="AV107" s="7">
        <v>1768</v>
      </c>
      <c r="AW107" s="7">
        <v>1893</v>
      </c>
      <c r="AX107" s="7">
        <v>2980</v>
      </c>
      <c r="AY107" s="7">
        <v>3661</v>
      </c>
      <c r="AZ107" s="7">
        <v>3661</v>
      </c>
      <c r="BA107" s="7">
        <v>0</v>
      </c>
      <c r="BB107" s="7">
        <v>101</v>
      </c>
      <c r="BC107" s="7">
        <v>82</v>
      </c>
      <c r="BD107" s="7">
        <v>235</v>
      </c>
      <c r="BE107" s="7">
        <v>248</v>
      </c>
      <c r="BF107" s="7">
        <v>253</v>
      </c>
      <c r="BG107" s="7">
        <v>254</v>
      </c>
      <c r="BH107" s="7">
        <v>204</v>
      </c>
      <c r="BI107" s="7">
        <v>235</v>
      </c>
      <c r="BJ107" s="7">
        <v>146</v>
      </c>
      <c r="BK107" s="7">
        <v>168</v>
      </c>
      <c r="BL107" s="7">
        <v>137</v>
      </c>
      <c r="BM107" s="7">
        <v>115</v>
      </c>
      <c r="BN107" s="7">
        <v>111</v>
      </c>
      <c r="BO107" s="7">
        <v>146</v>
      </c>
      <c r="BP107" s="7">
        <v>105</v>
      </c>
      <c r="BQ107" s="7">
        <v>127</v>
      </c>
      <c r="BR107" s="7">
        <v>88</v>
      </c>
      <c r="BS107" s="7">
        <v>83</v>
      </c>
      <c r="BT107" s="7">
        <v>85</v>
      </c>
      <c r="BU107" s="7">
        <v>81</v>
      </c>
      <c r="BV107" s="7">
        <v>62</v>
      </c>
      <c r="BW107" s="7">
        <v>79</v>
      </c>
      <c r="BX107" s="7">
        <v>61</v>
      </c>
      <c r="BY107" s="7">
        <v>67</v>
      </c>
      <c r="BZ107" s="7">
        <v>44</v>
      </c>
      <c r="CA107" s="7">
        <v>63</v>
      </c>
      <c r="CB107" s="7">
        <v>136</v>
      </c>
      <c r="CC107" s="7">
        <v>145</v>
      </c>
      <c r="CD107" s="7">
        <v>1630</v>
      </c>
      <c r="CE107" s="7">
        <v>1708</v>
      </c>
      <c r="CF107" s="7">
        <v>126</v>
      </c>
      <c r="CG107" s="7">
        <v>178</v>
      </c>
      <c r="CH107" s="7">
        <v>783</v>
      </c>
      <c r="CI107" s="7">
        <v>213</v>
      </c>
      <c r="CJ107" s="7">
        <v>3487</v>
      </c>
      <c r="CK107" s="7">
        <v>634</v>
      </c>
      <c r="CL107" s="7">
        <v>103</v>
      </c>
      <c r="CM107" s="7">
        <v>155</v>
      </c>
      <c r="CN107" s="7">
        <v>173</v>
      </c>
      <c r="CO107" s="7">
        <v>173</v>
      </c>
      <c r="CP107" s="7">
        <v>146</v>
      </c>
      <c r="CQ107" s="7">
        <v>246</v>
      </c>
      <c r="CR107" s="7">
        <v>723</v>
      </c>
      <c r="CS107" s="7">
        <v>2045</v>
      </c>
      <c r="CT107" s="7">
        <v>182</v>
      </c>
      <c r="CU107" s="7">
        <v>40</v>
      </c>
      <c r="CV107" s="7">
        <v>25</v>
      </c>
      <c r="CW107" s="7">
        <v>84</v>
      </c>
      <c r="CX107" s="7">
        <v>3</v>
      </c>
      <c r="CY107" s="7">
        <v>2851</v>
      </c>
      <c r="CZ107" s="7">
        <v>1048</v>
      </c>
      <c r="DA107" s="7">
        <v>0</v>
      </c>
      <c r="DB107" s="7">
        <v>103</v>
      </c>
      <c r="DC107" s="7">
        <v>5</v>
      </c>
      <c r="DD107" s="7">
        <v>1771</v>
      </c>
      <c r="DE107" s="7">
        <v>410</v>
      </c>
      <c r="DF107" s="7">
        <v>1940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15</v>
      </c>
      <c r="DM107" s="7">
        <v>1</v>
      </c>
      <c r="DN107" s="7">
        <v>1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29</v>
      </c>
      <c r="DU107" s="7">
        <v>54</v>
      </c>
      <c r="DV107" s="7">
        <v>29</v>
      </c>
      <c r="DW107" s="7">
        <v>29</v>
      </c>
      <c r="DX107" s="7">
        <v>18</v>
      </c>
      <c r="DY107" s="7">
        <v>16</v>
      </c>
      <c r="DZ107" s="7">
        <v>8</v>
      </c>
      <c r="EA107" s="7">
        <v>19</v>
      </c>
      <c r="EB107" s="7">
        <v>5</v>
      </c>
      <c r="EC107" s="7">
        <v>8</v>
      </c>
      <c r="ED107" s="7">
        <v>3</v>
      </c>
      <c r="EE107" s="7">
        <v>5</v>
      </c>
      <c r="EF107" s="7">
        <v>8</v>
      </c>
      <c r="EG107" s="7">
        <v>6</v>
      </c>
      <c r="EH107" s="7">
        <v>48</v>
      </c>
      <c r="EI107" s="7">
        <v>30</v>
      </c>
      <c r="EJ107" s="7">
        <v>15</v>
      </c>
      <c r="EK107" s="7">
        <v>15</v>
      </c>
      <c r="EL107" s="7">
        <v>7</v>
      </c>
      <c r="EM107" s="7">
        <v>3</v>
      </c>
      <c r="EN107" s="7">
        <v>4</v>
      </c>
      <c r="EO107" s="7">
        <v>959</v>
      </c>
      <c r="EP107" s="7">
        <v>901</v>
      </c>
      <c r="EQ107" s="7">
        <v>58</v>
      </c>
      <c r="ER107" s="7">
        <v>420</v>
      </c>
      <c r="ES107" s="7">
        <v>236</v>
      </c>
      <c r="ET107" s="7">
        <v>231</v>
      </c>
      <c r="EU107" s="7">
        <v>5</v>
      </c>
      <c r="EV107" s="7">
        <v>1258</v>
      </c>
      <c r="EW107" s="134">
        <v>67.142857143000001</v>
      </c>
      <c r="EX107" s="134">
        <v>8.6607142856999992</v>
      </c>
      <c r="EY107" s="134">
        <v>5.625</v>
      </c>
      <c r="EZ107" s="134">
        <v>15.803571429</v>
      </c>
      <c r="FA107" s="134">
        <v>2.7678571429000001</v>
      </c>
      <c r="FB107" s="7">
        <v>141</v>
      </c>
      <c r="FC107" s="7">
        <v>700</v>
      </c>
      <c r="FD107" s="7">
        <v>36</v>
      </c>
      <c r="FE107" s="7">
        <v>165</v>
      </c>
      <c r="FF107" s="7">
        <v>0</v>
      </c>
      <c r="FG107" s="7">
        <v>95</v>
      </c>
      <c r="FH107" s="7">
        <v>50</v>
      </c>
      <c r="FI107" s="134">
        <v>55.625</v>
      </c>
      <c r="FJ107" s="134">
        <v>24.553571429000002</v>
      </c>
      <c r="FK107" s="134">
        <v>11.875</v>
      </c>
      <c r="FL107" s="134">
        <v>7.9464285714000003</v>
      </c>
      <c r="FM107" s="151">
        <v>1109</v>
      </c>
      <c r="FN107" s="151">
        <v>878</v>
      </c>
      <c r="FO107" s="7">
        <v>126</v>
      </c>
      <c r="FP107" s="7">
        <v>43</v>
      </c>
      <c r="FQ107" s="7">
        <v>5</v>
      </c>
      <c r="FR107" s="7">
        <v>0</v>
      </c>
      <c r="FS107" s="7">
        <v>936</v>
      </c>
      <c r="FT107" s="7">
        <v>4</v>
      </c>
      <c r="FU107" s="7">
        <v>3</v>
      </c>
      <c r="FV107" s="7">
        <v>15</v>
      </c>
      <c r="FW107" s="7">
        <v>1333</v>
      </c>
      <c r="FX107" s="7">
        <v>779</v>
      </c>
      <c r="FY107" s="7">
        <v>146</v>
      </c>
      <c r="FZ107" s="7">
        <v>39</v>
      </c>
      <c r="GA107" s="7">
        <v>6</v>
      </c>
      <c r="GB107" s="7">
        <v>0</v>
      </c>
      <c r="GC107" s="7">
        <v>1143</v>
      </c>
      <c r="GD107" s="7">
        <v>1</v>
      </c>
      <c r="GE107" s="7">
        <v>1</v>
      </c>
      <c r="GF107" s="7">
        <v>7</v>
      </c>
      <c r="GG107" s="7">
        <v>145</v>
      </c>
      <c r="GH107" s="7">
        <v>157</v>
      </c>
      <c r="GI107" s="7">
        <v>166</v>
      </c>
      <c r="GJ107" s="7">
        <v>114</v>
      </c>
      <c r="GK107" s="7">
        <v>78</v>
      </c>
      <c r="GL107" s="7">
        <v>81</v>
      </c>
      <c r="GM107" s="7">
        <v>52</v>
      </c>
      <c r="GN107" s="7">
        <v>64</v>
      </c>
      <c r="GO107" s="7">
        <v>56</v>
      </c>
      <c r="GP107" s="7">
        <v>48</v>
      </c>
      <c r="GQ107" s="7">
        <v>36</v>
      </c>
      <c r="GR107" s="7">
        <v>34</v>
      </c>
      <c r="GS107" s="7">
        <v>24</v>
      </c>
      <c r="GT107" s="7">
        <v>16</v>
      </c>
      <c r="GU107" s="7">
        <v>19</v>
      </c>
      <c r="GV107" s="7">
        <v>10</v>
      </c>
      <c r="GW107" s="7">
        <v>5</v>
      </c>
      <c r="GX107" s="7">
        <v>4</v>
      </c>
      <c r="GY107" s="7">
        <v>118</v>
      </c>
      <c r="GZ107" s="7">
        <v>179</v>
      </c>
      <c r="HA107" s="7">
        <v>169</v>
      </c>
      <c r="HB107" s="7">
        <v>131</v>
      </c>
      <c r="HC107" s="7">
        <v>106</v>
      </c>
      <c r="HD107" s="7">
        <v>87</v>
      </c>
      <c r="HE107" s="7">
        <v>108</v>
      </c>
      <c r="HF107" s="7">
        <v>98</v>
      </c>
      <c r="HG107" s="7">
        <v>62</v>
      </c>
      <c r="HH107" s="7">
        <v>47</v>
      </c>
      <c r="HI107" s="7">
        <v>59</v>
      </c>
      <c r="HJ107" s="7">
        <v>49</v>
      </c>
      <c r="HK107" s="7">
        <v>37</v>
      </c>
      <c r="HL107" s="7">
        <v>32</v>
      </c>
      <c r="HM107" s="7">
        <v>26</v>
      </c>
      <c r="HN107" s="7">
        <v>11</v>
      </c>
      <c r="HO107" s="7">
        <v>6</v>
      </c>
      <c r="HP107" s="7">
        <v>8</v>
      </c>
      <c r="HQ107" s="7">
        <v>994</v>
      </c>
      <c r="HR107" s="7">
        <v>1</v>
      </c>
      <c r="HS107" s="7">
        <v>0</v>
      </c>
      <c r="HT107" s="7">
        <v>0</v>
      </c>
      <c r="HU107" s="7">
        <v>0</v>
      </c>
      <c r="HV107" s="7">
        <v>0</v>
      </c>
      <c r="HW107" s="7">
        <v>0</v>
      </c>
      <c r="HX107" s="7">
        <v>1</v>
      </c>
      <c r="HY107" s="7">
        <v>103</v>
      </c>
      <c r="HZ107" s="7">
        <v>155</v>
      </c>
      <c r="IA107" s="7">
        <v>173</v>
      </c>
      <c r="IB107" s="7">
        <v>173</v>
      </c>
      <c r="IC107" s="7">
        <v>146</v>
      </c>
      <c r="ID107" s="7">
        <v>98</v>
      </c>
      <c r="IE107" s="7">
        <v>74</v>
      </c>
      <c r="IF107" s="7">
        <v>38</v>
      </c>
      <c r="IG107" s="7">
        <v>36</v>
      </c>
      <c r="IH107" s="7">
        <v>138</v>
      </c>
      <c r="II107" s="7">
        <v>484</v>
      </c>
      <c r="IJ107" s="7">
        <v>229</v>
      </c>
      <c r="IK107" s="7">
        <v>97</v>
      </c>
      <c r="IL107" s="7">
        <v>25</v>
      </c>
      <c r="IM107" s="7">
        <v>8</v>
      </c>
      <c r="IN107" s="7">
        <v>2</v>
      </c>
      <c r="IO107" s="7">
        <v>2</v>
      </c>
      <c r="IP107" s="7">
        <v>0</v>
      </c>
      <c r="IQ107" s="7">
        <v>664</v>
      </c>
      <c r="IR107" s="7">
        <v>225</v>
      </c>
      <c r="IS107" s="7">
        <v>75</v>
      </c>
      <c r="IT107" s="7">
        <v>12</v>
      </c>
      <c r="IU107" s="7">
        <v>11</v>
      </c>
      <c r="IV107" s="7">
        <v>477</v>
      </c>
      <c r="IW107" s="7">
        <v>448</v>
      </c>
      <c r="IX107" s="7">
        <v>11</v>
      </c>
      <c r="IY107" s="7">
        <v>27</v>
      </c>
      <c r="IZ107" s="7">
        <v>0</v>
      </c>
      <c r="JA107" s="7">
        <v>30</v>
      </c>
      <c r="JB107" s="7">
        <v>598</v>
      </c>
      <c r="JC107" s="7">
        <v>241</v>
      </c>
      <c r="JD107" s="7">
        <v>23</v>
      </c>
      <c r="JE107" s="7">
        <v>67</v>
      </c>
      <c r="JF107" s="151">
        <v>955.63799833234646</v>
      </c>
      <c r="JG107" s="151">
        <v>39.153605394496743</v>
      </c>
      <c r="JH107" s="7">
        <v>263</v>
      </c>
      <c r="JI107" s="7">
        <v>715</v>
      </c>
      <c r="JJ107" s="7">
        <v>14</v>
      </c>
      <c r="JK107" s="7">
        <v>4</v>
      </c>
      <c r="JL107" s="7">
        <v>233</v>
      </c>
      <c r="JM107" s="7">
        <v>82</v>
      </c>
      <c r="JN107" s="7">
        <v>67</v>
      </c>
      <c r="JO107" s="7">
        <v>403</v>
      </c>
      <c r="JP107" s="7">
        <v>545</v>
      </c>
      <c r="JQ107" s="7">
        <v>56</v>
      </c>
      <c r="JR107" s="7">
        <v>7</v>
      </c>
      <c r="JS107" s="7">
        <v>170</v>
      </c>
      <c r="JT107" s="7">
        <v>6</v>
      </c>
      <c r="JU107" s="151">
        <v>75.648632644922714</v>
      </c>
      <c r="JV107" s="151">
        <v>833.10171478290295</v>
      </c>
      <c r="JW107" s="151">
        <v>45.920895215767786</v>
      </c>
      <c r="JX107" s="151">
        <v>0.96675568875300599</v>
      </c>
      <c r="JY107" s="7">
        <v>947</v>
      </c>
      <c r="JZ107" s="7">
        <v>4113</v>
      </c>
      <c r="KA107" s="7">
        <v>4</v>
      </c>
      <c r="KB107" s="7">
        <v>0</v>
      </c>
      <c r="KC107" s="7">
        <v>0</v>
      </c>
      <c r="KD107" s="7">
        <v>0</v>
      </c>
      <c r="KE107" s="7">
        <v>0</v>
      </c>
      <c r="KF107" s="7">
        <v>0</v>
      </c>
      <c r="KG107" s="7">
        <v>4</v>
      </c>
      <c r="KH107" s="7">
        <v>1029</v>
      </c>
      <c r="KI107" s="7">
        <v>3021</v>
      </c>
      <c r="KJ107" s="7">
        <v>61</v>
      </c>
      <c r="KK107" s="7">
        <v>10</v>
      </c>
      <c r="KL107" s="7">
        <v>313</v>
      </c>
      <c r="KM107" s="7">
        <v>3447</v>
      </c>
      <c r="KN107" s="7">
        <v>190</v>
      </c>
      <c r="KO107" s="7">
        <v>4</v>
      </c>
      <c r="KP107" s="7">
        <v>3954</v>
      </c>
      <c r="KQ107" s="7">
        <v>162</v>
      </c>
      <c r="KR107" s="7">
        <v>702</v>
      </c>
      <c r="KS107" s="7">
        <v>702</v>
      </c>
      <c r="KT107" s="7">
        <v>164</v>
      </c>
      <c r="KU107" s="7">
        <v>56</v>
      </c>
      <c r="KV107" s="7">
        <v>109</v>
      </c>
      <c r="KW107" s="7">
        <v>0</v>
      </c>
      <c r="KX107" s="7">
        <v>150</v>
      </c>
      <c r="KY107" s="7">
        <v>52</v>
      </c>
      <c r="KZ107" s="7">
        <v>119</v>
      </c>
      <c r="LA107" s="7">
        <v>0</v>
      </c>
      <c r="LB107" s="7">
        <v>392</v>
      </c>
      <c r="LC107" s="7">
        <v>412</v>
      </c>
      <c r="LD107" s="7">
        <v>132</v>
      </c>
      <c r="LE107" s="7">
        <v>291</v>
      </c>
      <c r="LF107" s="7">
        <v>2586</v>
      </c>
      <c r="LG107" s="7">
        <v>9</v>
      </c>
      <c r="LH107" s="7">
        <v>674</v>
      </c>
      <c r="LI107" s="7">
        <v>68</v>
      </c>
      <c r="LJ107" s="7">
        <v>164</v>
      </c>
      <c r="LK107" s="7">
        <v>0</v>
      </c>
      <c r="LL107" s="7">
        <v>122</v>
      </c>
      <c r="LM107" s="7">
        <v>47</v>
      </c>
      <c r="LN107" s="7">
        <v>10</v>
      </c>
      <c r="LO107" s="7">
        <v>608</v>
      </c>
      <c r="LP107" s="7">
        <v>67</v>
      </c>
      <c r="LQ107" s="7">
        <v>243</v>
      </c>
      <c r="LR107" s="7">
        <v>0</v>
      </c>
      <c r="LS107" s="7">
        <v>112</v>
      </c>
      <c r="LT107" s="7">
        <v>18</v>
      </c>
      <c r="LU107" s="232">
        <v>5.2439500389999996</v>
      </c>
      <c r="LV107" s="232">
        <v>5.5970394736999998</v>
      </c>
      <c r="LW107" s="232">
        <v>4.9249628529000002</v>
      </c>
      <c r="LX107" s="7">
        <v>996</v>
      </c>
      <c r="LY107" s="7">
        <v>4121</v>
      </c>
    </row>
    <row r="108" spans="1:337" x14ac:dyDescent="0.25">
      <c r="A108" t="s">
        <v>218</v>
      </c>
      <c r="B108" t="s">
        <v>219</v>
      </c>
      <c r="C108" s="7">
        <v>10349</v>
      </c>
      <c r="D108">
        <v>12170</v>
      </c>
      <c r="F108">
        <f t="shared" si="6"/>
        <v>-12170</v>
      </c>
      <c r="G108">
        <f t="shared" si="7"/>
        <v>-100</v>
      </c>
      <c r="H108">
        <v>6009</v>
      </c>
      <c r="I108">
        <v>6161</v>
      </c>
      <c r="J108">
        <v>7441</v>
      </c>
      <c r="K108">
        <v>4729</v>
      </c>
      <c r="L108" s="7">
        <v>713</v>
      </c>
      <c r="M108" s="7">
        <v>681</v>
      </c>
      <c r="N108" s="7">
        <v>712</v>
      </c>
      <c r="O108" s="7">
        <v>766</v>
      </c>
      <c r="P108" s="7">
        <v>549</v>
      </c>
      <c r="Q108" s="7">
        <v>453</v>
      </c>
      <c r="R108" s="7">
        <v>396</v>
      </c>
      <c r="S108" s="7">
        <v>355</v>
      </c>
      <c r="T108" s="7">
        <v>305</v>
      </c>
      <c r="U108" s="7">
        <v>235</v>
      </c>
      <c r="V108" s="7">
        <v>193</v>
      </c>
      <c r="W108" s="7">
        <v>186</v>
      </c>
      <c r="X108" s="7">
        <v>128</v>
      </c>
      <c r="Y108" s="7">
        <v>336</v>
      </c>
      <c r="Z108" s="7">
        <v>1</v>
      </c>
      <c r="AA108" s="7">
        <v>669</v>
      </c>
      <c r="AB108" s="7">
        <v>695</v>
      </c>
      <c r="AC108" s="7">
        <v>713</v>
      </c>
      <c r="AD108" s="7">
        <v>702</v>
      </c>
      <c r="AE108" s="7">
        <v>609</v>
      </c>
      <c r="AF108" s="7">
        <v>488</v>
      </c>
      <c r="AG108" s="7">
        <v>496</v>
      </c>
      <c r="AH108" s="7">
        <v>402</v>
      </c>
      <c r="AI108" s="7">
        <v>291</v>
      </c>
      <c r="AJ108" s="7">
        <v>262</v>
      </c>
      <c r="AK108" s="7">
        <v>223</v>
      </c>
      <c r="AL108" s="7">
        <v>167</v>
      </c>
      <c r="AM108" s="7">
        <v>150</v>
      </c>
      <c r="AN108" s="7">
        <v>293</v>
      </c>
      <c r="AO108" s="7">
        <v>1</v>
      </c>
      <c r="AP108">
        <v>12017</v>
      </c>
      <c r="AQ108">
        <v>122</v>
      </c>
      <c r="AR108">
        <v>7</v>
      </c>
      <c r="AS108" t="s">
        <v>358</v>
      </c>
      <c r="AT108">
        <v>24</v>
      </c>
      <c r="AU108" s="7">
        <v>958</v>
      </c>
      <c r="AV108" s="7">
        <v>496</v>
      </c>
      <c r="AW108" s="7">
        <v>462</v>
      </c>
      <c r="AX108" s="7">
        <v>1094</v>
      </c>
      <c r="AY108" s="7">
        <v>958</v>
      </c>
      <c r="AZ108" s="7">
        <v>691</v>
      </c>
      <c r="BA108" s="7">
        <v>267</v>
      </c>
      <c r="BB108" s="7">
        <v>6</v>
      </c>
      <c r="BC108" s="7">
        <v>2</v>
      </c>
      <c r="BD108" s="7">
        <v>7</v>
      </c>
      <c r="BE108" s="7">
        <v>18</v>
      </c>
      <c r="BF108" s="7">
        <v>26</v>
      </c>
      <c r="BG108" s="7">
        <v>20</v>
      </c>
      <c r="BH108" s="7">
        <v>32</v>
      </c>
      <c r="BI108" s="7">
        <v>38</v>
      </c>
      <c r="BJ108" s="7">
        <v>35</v>
      </c>
      <c r="BK108" s="7">
        <v>38</v>
      </c>
      <c r="BL108" s="7">
        <v>49</v>
      </c>
      <c r="BM108" s="7">
        <v>49</v>
      </c>
      <c r="BN108" s="7">
        <v>43</v>
      </c>
      <c r="BO108" s="7">
        <v>40</v>
      </c>
      <c r="BP108" s="7">
        <v>41</v>
      </c>
      <c r="BQ108" s="7">
        <v>54</v>
      </c>
      <c r="BR108" s="7">
        <v>41</v>
      </c>
      <c r="BS108" s="7">
        <v>36</v>
      </c>
      <c r="BT108" s="7">
        <v>31</v>
      </c>
      <c r="BU108" s="7">
        <v>32</v>
      </c>
      <c r="BV108" s="7">
        <v>38</v>
      </c>
      <c r="BW108" s="7">
        <v>24</v>
      </c>
      <c r="BX108" s="7">
        <v>29</v>
      </c>
      <c r="BY108" s="7">
        <v>22</v>
      </c>
      <c r="BZ108" s="7">
        <v>28</v>
      </c>
      <c r="CA108" s="7">
        <v>29</v>
      </c>
      <c r="CB108" s="7">
        <v>90</v>
      </c>
      <c r="CC108" s="7">
        <v>60</v>
      </c>
      <c r="CD108" s="7">
        <v>462</v>
      </c>
      <c r="CE108" s="7">
        <v>433</v>
      </c>
      <c r="CF108" s="7">
        <v>1</v>
      </c>
      <c r="CG108" s="7">
        <v>2</v>
      </c>
      <c r="CH108" s="7">
        <v>2233</v>
      </c>
      <c r="CI108" s="7">
        <v>550</v>
      </c>
      <c r="CJ108" s="7">
        <v>10219</v>
      </c>
      <c r="CK108" s="7">
        <v>1949</v>
      </c>
      <c r="CL108" s="7">
        <v>196</v>
      </c>
      <c r="CM108" s="7">
        <v>357</v>
      </c>
      <c r="CN108" s="7">
        <v>467</v>
      </c>
      <c r="CO108" s="7">
        <v>566</v>
      </c>
      <c r="CP108" s="7">
        <v>474</v>
      </c>
      <c r="CQ108" s="7">
        <v>723</v>
      </c>
      <c r="CR108" s="7">
        <v>2081</v>
      </c>
      <c r="CS108" s="7">
        <v>5817</v>
      </c>
      <c r="CT108" s="7">
        <v>732</v>
      </c>
      <c r="CU108" s="7">
        <v>285</v>
      </c>
      <c r="CV108" s="7">
        <v>87</v>
      </c>
      <c r="CW108" s="7">
        <v>300</v>
      </c>
      <c r="CX108" s="7">
        <v>35</v>
      </c>
      <c r="CY108" s="7">
        <v>7739</v>
      </c>
      <c r="CZ108" s="7">
        <v>3921</v>
      </c>
      <c r="DA108" s="7">
        <v>96</v>
      </c>
      <c r="DB108" s="7">
        <v>196</v>
      </c>
      <c r="DC108" s="7">
        <v>15</v>
      </c>
      <c r="DD108" s="7">
        <v>1959</v>
      </c>
      <c r="DE108" s="7">
        <v>1447</v>
      </c>
      <c r="DF108" s="7">
        <v>1323</v>
      </c>
      <c r="DG108" s="7">
        <v>0</v>
      </c>
      <c r="DH108" s="7">
        <v>7441</v>
      </c>
      <c r="DI108" s="7">
        <v>0</v>
      </c>
      <c r="DJ108" s="7">
        <v>0</v>
      </c>
      <c r="DK108" s="7">
        <v>0</v>
      </c>
      <c r="DL108" s="7">
        <v>39</v>
      </c>
      <c r="DM108" s="7">
        <v>4</v>
      </c>
      <c r="DN108" s="7">
        <v>1</v>
      </c>
      <c r="DO108" s="7">
        <v>0</v>
      </c>
      <c r="DP108" s="7">
        <v>1</v>
      </c>
      <c r="DQ108" s="7">
        <v>0</v>
      </c>
      <c r="DR108" s="7">
        <v>0</v>
      </c>
      <c r="DS108" s="7">
        <v>0</v>
      </c>
      <c r="DT108" s="7">
        <v>77</v>
      </c>
      <c r="DU108" s="7">
        <v>87</v>
      </c>
      <c r="DV108" s="7">
        <v>63</v>
      </c>
      <c r="DW108" s="7">
        <v>54</v>
      </c>
      <c r="DX108" s="7">
        <v>24</v>
      </c>
      <c r="DY108" s="7">
        <v>17</v>
      </c>
      <c r="DZ108" s="7">
        <v>13</v>
      </c>
      <c r="EA108" s="7">
        <v>19</v>
      </c>
      <c r="EB108" s="7">
        <v>1</v>
      </c>
      <c r="EC108" s="7">
        <v>3</v>
      </c>
      <c r="ED108" s="7">
        <v>9</v>
      </c>
      <c r="EE108" s="7">
        <v>4</v>
      </c>
      <c r="EF108" s="7">
        <v>25</v>
      </c>
      <c r="EG108" s="7">
        <v>23</v>
      </c>
      <c r="EH108" s="7">
        <v>109</v>
      </c>
      <c r="EI108" s="7">
        <v>83</v>
      </c>
      <c r="EJ108" s="7">
        <v>28</v>
      </c>
      <c r="EK108" s="7">
        <v>16</v>
      </c>
      <c r="EL108" s="7">
        <v>3</v>
      </c>
      <c r="EM108" s="7">
        <v>11</v>
      </c>
      <c r="EN108" s="7">
        <v>29</v>
      </c>
      <c r="EO108" s="7">
        <v>3179</v>
      </c>
      <c r="EP108" s="7">
        <v>3097</v>
      </c>
      <c r="EQ108" s="7">
        <v>82</v>
      </c>
      <c r="ER108" s="7">
        <v>1132</v>
      </c>
      <c r="ES108" s="7">
        <v>885</v>
      </c>
      <c r="ET108" s="7">
        <v>876</v>
      </c>
      <c r="EU108" s="7">
        <v>9</v>
      </c>
      <c r="EV108" s="7">
        <v>3612</v>
      </c>
      <c r="EW108" s="134">
        <v>32.250396197000001</v>
      </c>
      <c r="EX108" s="134">
        <v>20.998415214000001</v>
      </c>
      <c r="EY108" s="134">
        <v>18.462757528000001</v>
      </c>
      <c r="EZ108" s="134">
        <v>27.020602219000001</v>
      </c>
      <c r="FA108" s="134">
        <v>1.2678288431</v>
      </c>
      <c r="FB108" s="7">
        <v>642</v>
      </c>
      <c r="FC108" s="7">
        <v>1318</v>
      </c>
      <c r="FD108" s="7">
        <v>173</v>
      </c>
      <c r="FE108" s="7">
        <v>697</v>
      </c>
      <c r="FF108" s="7">
        <v>4</v>
      </c>
      <c r="FG108" s="7">
        <v>721</v>
      </c>
      <c r="FH108" s="7">
        <v>488</v>
      </c>
      <c r="FI108" s="134">
        <v>43.660855783999999</v>
      </c>
      <c r="FJ108" s="134">
        <v>30.982567353</v>
      </c>
      <c r="FK108" s="134">
        <v>22.583201268</v>
      </c>
      <c r="FL108" s="134">
        <v>2.7733755943</v>
      </c>
      <c r="FM108" s="151">
        <v>3745</v>
      </c>
      <c r="FN108" s="151">
        <v>2248</v>
      </c>
      <c r="FO108" s="7">
        <v>102</v>
      </c>
      <c r="FP108" s="7">
        <v>227</v>
      </c>
      <c r="FQ108" s="7">
        <v>9</v>
      </c>
      <c r="FR108" s="7">
        <v>2</v>
      </c>
      <c r="FS108" s="7">
        <v>3370</v>
      </c>
      <c r="FT108" s="7">
        <v>13</v>
      </c>
      <c r="FU108" s="7">
        <v>29</v>
      </c>
      <c r="FV108" s="7">
        <v>16</v>
      </c>
      <c r="FW108" s="7">
        <v>4155</v>
      </c>
      <c r="FX108" s="7">
        <v>1980</v>
      </c>
      <c r="FY108" s="7">
        <v>101</v>
      </c>
      <c r="FZ108" s="7">
        <v>235</v>
      </c>
      <c r="GA108" s="7">
        <v>17</v>
      </c>
      <c r="GB108" s="7">
        <v>0</v>
      </c>
      <c r="GC108" s="7">
        <v>3764</v>
      </c>
      <c r="GD108" s="7">
        <v>13</v>
      </c>
      <c r="GE108" s="7">
        <v>28</v>
      </c>
      <c r="GF108" s="7">
        <v>26</v>
      </c>
      <c r="GG108" s="7">
        <v>444</v>
      </c>
      <c r="GH108" s="7">
        <v>487</v>
      </c>
      <c r="GI108" s="7">
        <v>518</v>
      </c>
      <c r="GJ108" s="7">
        <v>461</v>
      </c>
      <c r="GK108" s="7">
        <v>244</v>
      </c>
      <c r="GL108" s="7">
        <v>221</v>
      </c>
      <c r="GM108" s="7">
        <v>254</v>
      </c>
      <c r="GN108" s="7">
        <v>223</v>
      </c>
      <c r="GO108" s="7">
        <v>204</v>
      </c>
      <c r="GP108" s="7">
        <v>152</v>
      </c>
      <c r="GQ108" s="7">
        <v>122</v>
      </c>
      <c r="GR108" s="7">
        <v>119</v>
      </c>
      <c r="GS108" s="7">
        <v>76</v>
      </c>
      <c r="GT108" s="7">
        <v>66</v>
      </c>
      <c r="GU108" s="7">
        <v>74</v>
      </c>
      <c r="GV108" s="7">
        <v>44</v>
      </c>
      <c r="GW108" s="7">
        <v>20</v>
      </c>
      <c r="GX108" s="7">
        <v>16</v>
      </c>
      <c r="GY108" s="7">
        <v>416</v>
      </c>
      <c r="GZ108" s="7">
        <v>499</v>
      </c>
      <c r="HA108" s="7">
        <v>508</v>
      </c>
      <c r="HB108" s="7">
        <v>460</v>
      </c>
      <c r="HC108" s="7">
        <v>328</v>
      </c>
      <c r="HD108" s="7">
        <v>309</v>
      </c>
      <c r="HE108" s="7">
        <v>342</v>
      </c>
      <c r="HF108" s="7">
        <v>313</v>
      </c>
      <c r="HG108" s="7">
        <v>215</v>
      </c>
      <c r="HH108" s="7">
        <v>169</v>
      </c>
      <c r="HI108" s="7">
        <v>167</v>
      </c>
      <c r="HJ108" s="7">
        <v>125</v>
      </c>
      <c r="HK108" s="7">
        <v>95</v>
      </c>
      <c r="HL108" s="7">
        <v>72</v>
      </c>
      <c r="HM108" s="7">
        <v>65</v>
      </c>
      <c r="HN108" s="7">
        <v>40</v>
      </c>
      <c r="HO108" s="7">
        <v>17</v>
      </c>
      <c r="HP108" s="7">
        <v>15</v>
      </c>
      <c r="HQ108" s="7">
        <v>2760</v>
      </c>
      <c r="HR108" s="7">
        <v>0</v>
      </c>
      <c r="HS108" s="7">
        <v>0</v>
      </c>
      <c r="HT108" s="7">
        <v>2</v>
      </c>
      <c r="HU108" s="7">
        <v>0</v>
      </c>
      <c r="HV108" s="7">
        <v>0</v>
      </c>
      <c r="HW108" s="7">
        <v>0</v>
      </c>
      <c r="HX108" s="7">
        <v>21</v>
      </c>
      <c r="HY108" s="7">
        <v>196</v>
      </c>
      <c r="HZ108" s="7">
        <v>357</v>
      </c>
      <c r="IA108" s="7">
        <v>467</v>
      </c>
      <c r="IB108" s="7">
        <v>566</v>
      </c>
      <c r="IC108" s="7">
        <v>474</v>
      </c>
      <c r="ID108" s="7">
        <v>331</v>
      </c>
      <c r="IE108" s="7">
        <v>166</v>
      </c>
      <c r="IF108" s="7">
        <v>102</v>
      </c>
      <c r="IG108" s="7">
        <v>124</v>
      </c>
      <c r="IH108" s="7">
        <v>574</v>
      </c>
      <c r="II108" s="7">
        <v>850</v>
      </c>
      <c r="IJ108" s="7">
        <v>708</v>
      </c>
      <c r="IK108" s="7">
        <v>436</v>
      </c>
      <c r="IL108" s="7">
        <v>142</v>
      </c>
      <c r="IM108" s="7">
        <v>41</v>
      </c>
      <c r="IN108" s="7">
        <v>11</v>
      </c>
      <c r="IO108" s="7">
        <v>3</v>
      </c>
      <c r="IP108" s="7">
        <v>7</v>
      </c>
      <c r="IQ108" s="7">
        <v>1472</v>
      </c>
      <c r="IR108" s="7">
        <v>904</v>
      </c>
      <c r="IS108" s="7">
        <v>301</v>
      </c>
      <c r="IT108" s="7">
        <v>78</v>
      </c>
      <c r="IU108" s="7">
        <v>20</v>
      </c>
      <c r="IV108" s="7">
        <v>1535</v>
      </c>
      <c r="IW108" s="7">
        <v>1138</v>
      </c>
      <c r="IX108" s="7">
        <v>6</v>
      </c>
      <c r="IY108" s="7">
        <v>26</v>
      </c>
      <c r="IZ108" s="7">
        <v>0</v>
      </c>
      <c r="JA108" s="7">
        <v>66</v>
      </c>
      <c r="JB108" s="7">
        <v>2004</v>
      </c>
      <c r="JC108" s="7">
        <v>618</v>
      </c>
      <c r="JD108" s="7">
        <v>24</v>
      </c>
      <c r="JE108" s="7">
        <v>70</v>
      </c>
      <c r="JF108" s="151">
        <v>2699.7479564344299</v>
      </c>
      <c r="JG108" s="151">
        <v>73.188694176467095</v>
      </c>
      <c r="JH108" s="7">
        <v>229</v>
      </c>
      <c r="JI108" s="7">
        <v>2373</v>
      </c>
      <c r="JJ108" s="7">
        <v>174</v>
      </c>
      <c r="JK108" s="7">
        <v>7</v>
      </c>
      <c r="JL108" s="7">
        <v>1307</v>
      </c>
      <c r="JM108" s="7">
        <v>598</v>
      </c>
      <c r="JN108" s="7">
        <v>304</v>
      </c>
      <c r="JO108" s="7">
        <v>1569</v>
      </c>
      <c r="JP108" s="7">
        <v>2134</v>
      </c>
      <c r="JQ108" s="7">
        <v>210</v>
      </c>
      <c r="JR108" s="7">
        <v>165</v>
      </c>
      <c r="JS108" s="7">
        <v>1005</v>
      </c>
      <c r="JT108" s="7">
        <v>60</v>
      </c>
      <c r="JU108" s="151">
        <v>501.34255510879962</v>
      </c>
      <c r="JV108" s="151">
        <v>2114.4671176919946</v>
      </c>
      <c r="JW108" s="151">
        <v>78.449131570400667</v>
      </c>
      <c r="JX108" s="151">
        <v>5.4891520632350321</v>
      </c>
      <c r="JY108" s="7">
        <v>2739</v>
      </c>
      <c r="JZ108" s="7">
        <v>12053</v>
      </c>
      <c r="KA108" s="7">
        <v>0</v>
      </c>
      <c r="KB108" s="7">
        <v>0</v>
      </c>
      <c r="KC108" s="7">
        <v>8</v>
      </c>
      <c r="KD108" s="7">
        <v>0</v>
      </c>
      <c r="KE108" s="7">
        <v>0</v>
      </c>
      <c r="KF108" s="7">
        <v>0</v>
      </c>
      <c r="KG108" s="7">
        <v>107</v>
      </c>
      <c r="KH108" s="7">
        <v>923</v>
      </c>
      <c r="KI108" s="7">
        <v>10545</v>
      </c>
      <c r="KJ108" s="7">
        <v>675</v>
      </c>
      <c r="KK108" s="7">
        <v>25</v>
      </c>
      <c r="KL108" s="7">
        <v>2192</v>
      </c>
      <c r="KM108" s="7">
        <v>9245</v>
      </c>
      <c r="KN108" s="7">
        <v>343</v>
      </c>
      <c r="KO108" s="7">
        <v>24</v>
      </c>
      <c r="KP108" s="7">
        <v>11804</v>
      </c>
      <c r="KQ108" s="7">
        <v>320</v>
      </c>
      <c r="KR108" s="7">
        <v>2060</v>
      </c>
      <c r="KS108" s="7">
        <v>2060</v>
      </c>
      <c r="KT108" s="7">
        <v>407</v>
      </c>
      <c r="KU108" s="7">
        <v>115</v>
      </c>
      <c r="KV108" s="7">
        <v>396</v>
      </c>
      <c r="KW108" s="7">
        <v>0</v>
      </c>
      <c r="KX108" s="7">
        <v>425</v>
      </c>
      <c r="KY108" s="7">
        <v>110</v>
      </c>
      <c r="KZ108" s="7">
        <v>339</v>
      </c>
      <c r="LA108" s="7">
        <v>0</v>
      </c>
      <c r="LB108" s="7">
        <v>1059</v>
      </c>
      <c r="LC108" s="7">
        <v>1091</v>
      </c>
      <c r="LD108" s="7">
        <v>552</v>
      </c>
      <c r="LE108" s="7">
        <v>867</v>
      </c>
      <c r="LF108" s="7">
        <v>7985</v>
      </c>
      <c r="LG108" s="7">
        <v>20</v>
      </c>
      <c r="LH108" s="7">
        <v>1179</v>
      </c>
      <c r="LI108" s="7">
        <v>281</v>
      </c>
      <c r="LJ108" s="7">
        <v>667</v>
      </c>
      <c r="LK108" s="7">
        <v>2</v>
      </c>
      <c r="LL108" s="7">
        <v>752</v>
      </c>
      <c r="LM108" s="7">
        <v>390</v>
      </c>
      <c r="LN108" s="7">
        <v>23</v>
      </c>
      <c r="LO108" s="7">
        <v>1187</v>
      </c>
      <c r="LP108" s="7">
        <v>200</v>
      </c>
      <c r="LQ108" s="7">
        <v>757</v>
      </c>
      <c r="LR108" s="7">
        <v>4</v>
      </c>
      <c r="LS108" s="7">
        <v>762</v>
      </c>
      <c r="LT108" s="7">
        <v>295</v>
      </c>
      <c r="LU108" s="232">
        <v>6.8308758664000004</v>
      </c>
      <c r="LV108" s="232">
        <v>7.1283174440000003</v>
      </c>
      <c r="LW108" s="232">
        <v>6.5461272816999996</v>
      </c>
      <c r="LX108" s="7">
        <v>2783</v>
      </c>
      <c r="LY108" s="7">
        <v>12168</v>
      </c>
    </row>
    <row r="109" spans="1:337" x14ac:dyDescent="0.25">
      <c r="A109" t="s">
        <v>220</v>
      </c>
      <c r="B109" t="s">
        <v>221</v>
      </c>
      <c r="C109" s="7">
        <v>38383</v>
      </c>
      <c r="D109">
        <v>41045</v>
      </c>
      <c r="F109">
        <f t="shared" si="6"/>
        <v>-41045</v>
      </c>
      <c r="G109">
        <f t="shared" si="7"/>
        <v>-100</v>
      </c>
      <c r="H109">
        <v>20420</v>
      </c>
      <c r="I109">
        <v>20625</v>
      </c>
      <c r="J109">
        <v>11347</v>
      </c>
      <c r="K109">
        <v>29698</v>
      </c>
      <c r="L109" s="7">
        <v>2304</v>
      </c>
      <c r="M109" s="7">
        <v>2626</v>
      </c>
      <c r="N109" s="7">
        <v>2652</v>
      </c>
      <c r="O109" s="7">
        <v>2492</v>
      </c>
      <c r="P109" s="7">
        <v>1572</v>
      </c>
      <c r="Q109" s="7">
        <v>1259</v>
      </c>
      <c r="R109" s="7">
        <v>1251</v>
      </c>
      <c r="S109" s="7">
        <v>1232</v>
      </c>
      <c r="T109" s="7">
        <v>1007</v>
      </c>
      <c r="U109" s="7">
        <v>891</v>
      </c>
      <c r="V109" s="7">
        <v>794</v>
      </c>
      <c r="W109" s="7">
        <v>635</v>
      </c>
      <c r="X109" s="7">
        <v>488</v>
      </c>
      <c r="Y109" s="7">
        <v>1203</v>
      </c>
      <c r="Z109" s="7">
        <v>14</v>
      </c>
      <c r="AA109" s="7">
        <v>2161</v>
      </c>
      <c r="AB109" s="7">
        <v>2476</v>
      </c>
      <c r="AC109" s="7">
        <v>2490</v>
      </c>
      <c r="AD109" s="7">
        <v>2473</v>
      </c>
      <c r="AE109" s="7">
        <v>1816</v>
      </c>
      <c r="AF109" s="7">
        <v>1532</v>
      </c>
      <c r="AG109" s="7">
        <v>1438</v>
      </c>
      <c r="AH109" s="7">
        <v>1355</v>
      </c>
      <c r="AI109" s="7">
        <v>1068</v>
      </c>
      <c r="AJ109" s="7">
        <v>915</v>
      </c>
      <c r="AK109" s="7">
        <v>735</v>
      </c>
      <c r="AL109" s="7">
        <v>621</v>
      </c>
      <c r="AM109" s="7">
        <v>436</v>
      </c>
      <c r="AN109" s="7">
        <v>1092</v>
      </c>
      <c r="AO109" s="7">
        <v>17</v>
      </c>
      <c r="AP109">
        <v>39438</v>
      </c>
      <c r="AQ109">
        <v>1436</v>
      </c>
      <c r="AR109">
        <v>59</v>
      </c>
      <c r="AS109">
        <v>5</v>
      </c>
      <c r="AT109">
        <v>107</v>
      </c>
      <c r="AU109" s="7">
        <v>7772</v>
      </c>
      <c r="AV109" s="7">
        <v>3986</v>
      </c>
      <c r="AW109" s="7">
        <v>3786</v>
      </c>
      <c r="AX109" s="7">
        <v>7280</v>
      </c>
      <c r="AY109" s="7">
        <v>7772</v>
      </c>
      <c r="AZ109" s="7">
        <v>7187</v>
      </c>
      <c r="BA109" s="7">
        <v>585</v>
      </c>
      <c r="BB109" s="7">
        <v>178</v>
      </c>
      <c r="BC109" s="7">
        <v>143</v>
      </c>
      <c r="BD109" s="7">
        <v>433</v>
      </c>
      <c r="BE109" s="7">
        <v>397</v>
      </c>
      <c r="BF109" s="7">
        <v>493</v>
      </c>
      <c r="BG109" s="7">
        <v>465</v>
      </c>
      <c r="BH109" s="7">
        <v>508</v>
      </c>
      <c r="BI109" s="7">
        <v>475</v>
      </c>
      <c r="BJ109" s="7">
        <v>323</v>
      </c>
      <c r="BK109" s="7">
        <v>352</v>
      </c>
      <c r="BL109" s="7">
        <v>245</v>
      </c>
      <c r="BM109" s="7">
        <v>265</v>
      </c>
      <c r="BN109" s="7">
        <v>230</v>
      </c>
      <c r="BO109" s="7">
        <v>244</v>
      </c>
      <c r="BP109" s="7">
        <v>247</v>
      </c>
      <c r="BQ109" s="7">
        <v>262</v>
      </c>
      <c r="BR109" s="7">
        <v>217</v>
      </c>
      <c r="BS109" s="7">
        <v>235</v>
      </c>
      <c r="BT109" s="7">
        <v>211</v>
      </c>
      <c r="BU109" s="7">
        <v>191</v>
      </c>
      <c r="BV109" s="7">
        <v>180</v>
      </c>
      <c r="BW109" s="7">
        <v>162</v>
      </c>
      <c r="BX109" s="7">
        <v>174</v>
      </c>
      <c r="BY109" s="7">
        <v>134</v>
      </c>
      <c r="BZ109" s="7">
        <v>140</v>
      </c>
      <c r="CA109" s="7">
        <v>128</v>
      </c>
      <c r="CB109" s="7">
        <v>407</v>
      </c>
      <c r="CC109" s="7">
        <v>333</v>
      </c>
      <c r="CD109" s="7">
        <v>3854</v>
      </c>
      <c r="CE109" s="7">
        <v>3632</v>
      </c>
      <c r="CF109" s="7">
        <v>42</v>
      </c>
      <c r="CG109" s="7">
        <v>74</v>
      </c>
      <c r="CH109" s="7">
        <v>7835</v>
      </c>
      <c r="CI109" s="7">
        <v>1736</v>
      </c>
      <c r="CJ109" s="7">
        <v>35045</v>
      </c>
      <c r="CK109" s="7">
        <v>5965</v>
      </c>
      <c r="CL109" s="7">
        <v>637</v>
      </c>
      <c r="CM109" s="7">
        <v>1329</v>
      </c>
      <c r="CN109" s="7">
        <v>1752</v>
      </c>
      <c r="CO109" s="7">
        <v>1982</v>
      </c>
      <c r="CP109" s="7">
        <v>1610</v>
      </c>
      <c r="CQ109" s="7">
        <v>2261</v>
      </c>
      <c r="CR109" s="7">
        <v>7301</v>
      </c>
      <c r="CS109" s="7">
        <v>19632</v>
      </c>
      <c r="CT109" s="7">
        <v>2355</v>
      </c>
      <c r="CU109" s="7">
        <v>682</v>
      </c>
      <c r="CV109" s="7">
        <v>351</v>
      </c>
      <c r="CW109" s="7">
        <v>938</v>
      </c>
      <c r="CX109" s="7">
        <v>92</v>
      </c>
      <c r="CY109" s="7">
        <v>27747</v>
      </c>
      <c r="CZ109" s="7">
        <v>11847</v>
      </c>
      <c r="DA109" s="7">
        <v>327</v>
      </c>
      <c r="DB109" s="7">
        <v>637</v>
      </c>
      <c r="DC109" s="7">
        <v>22</v>
      </c>
      <c r="DD109" s="7">
        <v>9957</v>
      </c>
      <c r="DE109" s="7">
        <v>5626</v>
      </c>
      <c r="DF109" s="7">
        <v>14115</v>
      </c>
      <c r="DG109" s="7">
        <v>4530</v>
      </c>
      <c r="DH109" s="7">
        <v>6817</v>
      </c>
      <c r="DI109" s="7">
        <v>0</v>
      </c>
      <c r="DJ109" s="7">
        <v>0</v>
      </c>
      <c r="DK109" s="7">
        <v>0</v>
      </c>
      <c r="DL109" s="7">
        <v>320</v>
      </c>
      <c r="DM109" s="7">
        <v>16</v>
      </c>
      <c r="DN109" s="7">
        <v>16</v>
      </c>
      <c r="DO109" s="7">
        <v>1</v>
      </c>
      <c r="DP109" s="7">
        <v>1</v>
      </c>
      <c r="DQ109" s="7">
        <v>0</v>
      </c>
      <c r="DR109" s="7">
        <v>0</v>
      </c>
      <c r="DS109" s="7">
        <v>0</v>
      </c>
      <c r="DT109" s="7">
        <v>251</v>
      </c>
      <c r="DU109" s="7">
        <v>220</v>
      </c>
      <c r="DV109" s="7">
        <v>125</v>
      </c>
      <c r="DW109" s="7">
        <v>96</v>
      </c>
      <c r="DX109" s="7">
        <v>68</v>
      </c>
      <c r="DY109" s="7">
        <v>55</v>
      </c>
      <c r="DZ109" s="7">
        <v>44</v>
      </c>
      <c r="EA109" s="7">
        <v>42</v>
      </c>
      <c r="EB109" s="7">
        <v>11</v>
      </c>
      <c r="EC109" s="7">
        <v>10</v>
      </c>
      <c r="ED109" s="7">
        <v>18</v>
      </c>
      <c r="EE109" s="7">
        <v>15</v>
      </c>
      <c r="EF109" s="7">
        <v>57</v>
      </c>
      <c r="EG109" s="7">
        <v>47</v>
      </c>
      <c r="EH109" s="7">
        <v>299</v>
      </c>
      <c r="EI109" s="7">
        <v>158</v>
      </c>
      <c r="EJ109" s="7">
        <v>72</v>
      </c>
      <c r="EK109" s="7">
        <v>48</v>
      </c>
      <c r="EL109" s="7">
        <v>12</v>
      </c>
      <c r="EM109" s="7">
        <v>14</v>
      </c>
      <c r="EN109" s="7">
        <v>61</v>
      </c>
      <c r="EO109" s="7">
        <v>10984</v>
      </c>
      <c r="EP109" s="7">
        <v>10745</v>
      </c>
      <c r="EQ109" s="7">
        <v>239</v>
      </c>
      <c r="ER109" s="7">
        <v>3291</v>
      </c>
      <c r="ES109" s="7">
        <v>1649</v>
      </c>
      <c r="ET109" s="7">
        <v>1625</v>
      </c>
      <c r="EU109" s="7">
        <v>24</v>
      </c>
      <c r="EV109" s="7">
        <v>13278</v>
      </c>
      <c r="EW109" s="134">
        <v>65.152183502</v>
      </c>
      <c r="EX109" s="134">
        <v>11.160123511</v>
      </c>
      <c r="EY109" s="134">
        <v>8.5663872960000003</v>
      </c>
      <c r="EZ109" s="134">
        <v>14.891927658</v>
      </c>
      <c r="FA109" s="134">
        <v>0.2293780326</v>
      </c>
      <c r="FB109" s="7">
        <v>1924</v>
      </c>
      <c r="FC109" s="7">
        <v>6302</v>
      </c>
      <c r="FD109" s="7">
        <v>464</v>
      </c>
      <c r="FE109" s="7">
        <v>1959</v>
      </c>
      <c r="FF109" s="7">
        <v>5</v>
      </c>
      <c r="FG109" s="7">
        <v>1251</v>
      </c>
      <c r="FH109" s="7">
        <v>703</v>
      </c>
      <c r="FI109" s="134">
        <v>32.377591531</v>
      </c>
      <c r="FJ109" s="134">
        <v>47.093074547999997</v>
      </c>
      <c r="FK109" s="134">
        <v>15.518306130999999</v>
      </c>
      <c r="FL109" s="134">
        <v>5.01102779</v>
      </c>
      <c r="FM109" s="151">
        <v>11615</v>
      </c>
      <c r="FN109" s="151">
        <v>8759</v>
      </c>
      <c r="FO109" s="7">
        <v>876</v>
      </c>
      <c r="FP109" s="7">
        <v>341</v>
      </c>
      <c r="FQ109" s="7">
        <v>50</v>
      </c>
      <c r="FR109" s="7">
        <v>9</v>
      </c>
      <c r="FS109" s="7">
        <v>10238</v>
      </c>
      <c r="FT109" s="7">
        <v>30</v>
      </c>
      <c r="FU109" s="7">
        <v>99</v>
      </c>
      <c r="FV109" s="7">
        <v>46</v>
      </c>
      <c r="FW109" s="7">
        <v>12947</v>
      </c>
      <c r="FX109" s="7">
        <v>7622</v>
      </c>
      <c r="FY109" s="7">
        <v>876</v>
      </c>
      <c r="FZ109" s="7">
        <v>392</v>
      </c>
      <c r="GA109" s="7">
        <v>63</v>
      </c>
      <c r="GB109" s="7">
        <v>8</v>
      </c>
      <c r="GC109" s="7">
        <v>11500</v>
      </c>
      <c r="GD109" s="7">
        <v>44</v>
      </c>
      <c r="GE109" s="7">
        <v>94</v>
      </c>
      <c r="GF109" s="7">
        <v>56</v>
      </c>
      <c r="GG109" s="7">
        <v>1206</v>
      </c>
      <c r="GH109" s="7">
        <v>1724</v>
      </c>
      <c r="GI109" s="7">
        <v>1735</v>
      </c>
      <c r="GJ109" s="7">
        <v>1416</v>
      </c>
      <c r="GK109" s="7">
        <v>559</v>
      </c>
      <c r="GL109" s="7">
        <v>582</v>
      </c>
      <c r="GM109" s="7">
        <v>704</v>
      </c>
      <c r="GN109" s="7">
        <v>733</v>
      </c>
      <c r="GO109" s="7">
        <v>586</v>
      </c>
      <c r="GP109" s="7">
        <v>543</v>
      </c>
      <c r="GQ109" s="7">
        <v>432</v>
      </c>
      <c r="GR109" s="7">
        <v>381</v>
      </c>
      <c r="GS109" s="7">
        <v>260</v>
      </c>
      <c r="GT109" s="7">
        <v>243</v>
      </c>
      <c r="GU109" s="7">
        <v>224</v>
      </c>
      <c r="GV109" s="7">
        <v>131</v>
      </c>
      <c r="GW109" s="7">
        <v>92</v>
      </c>
      <c r="GX109" s="7">
        <v>64</v>
      </c>
      <c r="GY109" s="7">
        <v>1157</v>
      </c>
      <c r="GZ109" s="7">
        <v>1608</v>
      </c>
      <c r="HA109" s="7">
        <v>1663</v>
      </c>
      <c r="HB109" s="7">
        <v>1326</v>
      </c>
      <c r="HC109" s="7">
        <v>944</v>
      </c>
      <c r="HD109" s="7">
        <v>951</v>
      </c>
      <c r="HE109" s="7">
        <v>996</v>
      </c>
      <c r="HF109" s="7">
        <v>940</v>
      </c>
      <c r="HG109" s="7">
        <v>754</v>
      </c>
      <c r="HH109" s="7">
        <v>638</v>
      </c>
      <c r="HI109" s="7">
        <v>517</v>
      </c>
      <c r="HJ109" s="7">
        <v>421</v>
      </c>
      <c r="HK109" s="7">
        <v>288</v>
      </c>
      <c r="HL109" s="7">
        <v>259</v>
      </c>
      <c r="HM109" s="7">
        <v>224</v>
      </c>
      <c r="HN109" s="7">
        <v>140</v>
      </c>
      <c r="HO109" s="7">
        <v>53</v>
      </c>
      <c r="HP109" s="7">
        <v>66</v>
      </c>
      <c r="HQ109" s="7">
        <v>9499</v>
      </c>
      <c r="HR109" s="7">
        <v>5</v>
      </c>
      <c r="HS109" s="7">
        <v>2</v>
      </c>
      <c r="HT109" s="7">
        <v>3</v>
      </c>
      <c r="HU109" s="7">
        <v>0</v>
      </c>
      <c r="HV109" s="7">
        <v>1</v>
      </c>
      <c r="HW109" s="7">
        <v>0</v>
      </c>
      <c r="HX109" s="7">
        <v>70</v>
      </c>
      <c r="HY109" s="7">
        <v>637</v>
      </c>
      <c r="HZ109" s="7">
        <v>1329</v>
      </c>
      <c r="IA109" s="7">
        <v>1752</v>
      </c>
      <c r="IB109" s="7">
        <v>1982</v>
      </c>
      <c r="IC109" s="7">
        <v>1610</v>
      </c>
      <c r="ID109" s="7">
        <v>992</v>
      </c>
      <c r="IE109" s="7">
        <v>519</v>
      </c>
      <c r="IF109" s="7">
        <v>327</v>
      </c>
      <c r="IG109" s="7">
        <v>422</v>
      </c>
      <c r="IH109" s="7">
        <v>1197</v>
      </c>
      <c r="II109" s="7">
        <v>2923</v>
      </c>
      <c r="IJ109" s="7">
        <v>2484</v>
      </c>
      <c r="IK109" s="7">
        <v>1820</v>
      </c>
      <c r="IL109" s="7">
        <v>810</v>
      </c>
      <c r="IM109" s="7">
        <v>185</v>
      </c>
      <c r="IN109" s="7">
        <v>50</v>
      </c>
      <c r="IO109" s="7">
        <v>17</v>
      </c>
      <c r="IP109" s="7">
        <v>16</v>
      </c>
      <c r="IQ109" s="7">
        <v>5549</v>
      </c>
      <c r="IR109" s="7">
        <v>2727</v>
      </c>
      <c r="IS109" s="7">
        <v>992</v>
      </c>
      <c r="IT109" s="7">
        <v>198</v>
      </c>
      <c r="IU109" s="7">
        <v>51</v>
      </c>
      <c r="IV109" s="7">
        <v>5251</v>
      </c>
      <c r="IW109" s="7">
        <v>2365</v>
      </c>
      <c r="IX109" s="7">
        <v>584</v>
      </c>
      <c r="IY109" s="7">
        <v>130</v>
      </c>
      <c r="IZ109" s="7">
        <v>31</v>
      </c>
      <c r="JA109" s="7">
        <v>1164</v>
      </c>
      <c r="JB109" s="7">
        <v>4067</v>
      </c>
      <c r="JC109" s="7">
        <v>3401</v>
      </c>
      <c r="JD109" s="7">
        <v>658</v>
      </c>
      <c r="JE109" s="7">
        <v>522</v>
      </c>
      <c r="JF109" s="151">
        <v>8882.5222255595872</v>
      </c>
      <c r="JG109" s="151">
        <v>656.03704613893842</v>
      </c>
      <c r="JH109" s="7">
        <v>1047</v>
      </c>
      <c r="JI109" s="7">
        <v>8012</v>
      </c>
      <c r="JJ109" s="7">
        <v>469</v>
      </c>
      <c r="JK109" s="7">
        <v>42</v>
      </c>
      <c r="JL109" s="7">
        <v>5570</v>
      </c>
      <c r="JM109" s="7">
        <v>2720</v>
      </c>
      <c r="JN109" s="7">
        <v>1077</v>
      </c>
      <c r="JO109" s="7">
        <v>4706</v>
      </c>
      <c r="JP109" s="7">
        <v>6371</v>
      </c>
      <c r="JQ109" s="7">
        <v>514</v>
      </c>
      <c r="JR109" s="7">
        <v>462</v>
      </c>
      <c r="JS109" s="7">
        <v>2160</v>
      </c>
      <c r="JT109" s="7">
        <v>157</v>
      </c>
      <c r="JU109" s="151">
        <v>1686.4189595873245</v>
      </c>
      <c r="JV109" s="151">
        <v>6754.077593475944</v>
      </c>
      <c r="JW109" s="151">
        <v>418.68746381119018</v>
      </c>
      <c r="JX109" s="151">
        <v>23.338208685127658</v>
      </c>
      <c r="JY109" s="7">
        <v>8857</v>
      </c>
      <c r="JZ109" s="7">
        <v>40728</v>
      </c>
      <c r="KA109" s="7">
        <v>24</v>
      </c>
      <c r="KB109" s="7">
        <v>6</v>
      </c>
      <c r="KC109" s="7">
        <v>12</v>
      </c>
      <c r="KD109" s="7">
        <v>0</v>
      </c>
      <c r="KE109" s="7">
        <v>6</v>
      </c>
      <c r="KF109" s="7">
        <v>0</v>
      </c>
      <c r="KG109" s="7">
        <v>261</v>
      </c>
      <c r="KH109" s="7">
        <v>4438</v>
      </c>
      <c r="KI109" s="7">
        <v>34618</v>
      </c>
      <c r="KJ109" s="7">
        <v>1796</v>
      </c>
      <c r="KK109" s="7">
        <v>152</v>
      </c>
      <c r="KL109" s="7">
        <v>7226</v>
      </c>
      <c r="KM109" s="7">
        <v>28940</v>
      </c>
      <c r="KN109" s="7">
        <v>1794</v>
      </c>
      <c r="KO109" s="7">
        <v>100</v>
      </c>
      <c r="KP109" s="7">
        <v>38060</v>
      </c>
      <c r="KQ109" s="7">
        <v>2811</v>
      </c>
      <c r="KR109" s="7">
        <v>6513</v>
      </c>
      <c r="KS109" s="7">
        <v>6513</v>
      </c>
      <c r="KT109" s="7">
        <v>1330</v>
      </c>
      <c r="KU109" s="7">
        <v>503</v>
      </c>
      <c r="KV109" s="7">
        <v>1068</v>
      </c>
      <c r="KW109" s="7">
        <v>2</v>
      </c>
      <c r="KX109" s="7">
        <v>1258</v>
      </c>
      <c r="KY109" s="7">
        <v>485</v>
      </c>
      <c r="KZ109" s="7">
        <v>1058</v>
      </c>
      <c r="LA109" s="7">
        <v>1</v>
      </c>
      <c r="LB109" s="7">
        <v>3739</v>
      </c>
      <c r="LC109" s="7">
        <v>3627</v>
      </c>
      <c r="LD109" s="7">
        <v>1870</v>
      </c>
      <c r="LE109" s="7">
        <v>2961</v>
      </c>
      <c r="LF109" s="7">
        <v>26305</v>
      </c>
      <c r="LG109" s="7">
        <v>54</v>
      </c>
      <c r="LH109" s="7">
        <v>5981</v>
      </c>
      <c r="LI109" s="7">
        <v>762</v>
      </c>
      <c r="LJ109" s="7">
        <v>1988</v>
      </c>
      <c r="LK109" s="7">
        <v>5</v>
      </c>
      <c r="LL109" s="7">
        <v>1489</v>
      </c>
      <c r="LM109" s="7">
        <v>564</v>
      </c>
      <c r="LN109" s="7">
        <v>56</v>
      </c>
      <c r="LO109" s="7">
        <v>6158</v>
      </c>
      <c r="LP109" s="7">
        <v>662</v>
      </c>
      <c r="LQ109" s="7">
        <v>1956</v>
      </c>
      <c r="LR109" s="7">
        <v>10</v>
      </c>
      <c r="LS109" s="7">
        <v>1404</v>
      </c>
      <c r="LT109" s="7">
        <v>471</v>
      </c>
      <c r="LU109" s="232">
        <v>5.5871223680000002</v>
      </c>
      <c r="LV109" s="232">
        <v>5.8513851932999996</v>
      </c>
      <c r="LW109" s="232">
        <v>5.3358386664999999</v>
      </c>
      <c r="LX109" s="7">
        <v>9570</v>
      </c>
      <c r="LY109" s="7">
        <v>41004</v>
      </c>
    </row>
    <row r="110" spans="1:337" x14ac:dyDescent="0.25">
      <c r="A110" t="s">
        <v>222</v>
      </c>
      <c r="B110" t="s">
        <v>223</v>
      </c>
      <c r="C110" s="7">
        <v>33161</v>
      </c>
      <c r="D110">
        <v>40268</v>
      </c>
      <c r="F110">
        <f t="shared" si="6"/>
        <v>-40268</v>
      </c>
      <c r="G110">
        <f t="shared" si="7"/>
        <v>-100</v>
      </c>
      <c r="H110">
        <v>19761</v>
      </c>
      <c r="I110">
        <v>20507</v>
      </c>
      <c r="J110">
        <v>2503</v>
      </c>
      <c r="K110">
        <v>37765</v>
      </c>
      <c r="L110" s="7">
        <v>2949</v>
      </c>
      <c r="M110" s="7">
        <v>3057</v>
      </c>
      <c r="N110" s="7">
        <v>2859</v>
      </c>
      <c r="O110" s="7">
        <v>2337</v>
      </c>
      <c r="P110" s="7">
        <v>1797</v>
      </c>
      <c r="Q110" s="7">
        <v>1375</v>
      </c>
      <c r="R110" s="7">
        <v>1096</v>
      </c>
      <c r="S110" s="7">
        <v>932</v>
      </c>
      <c r="T110" s="7">
        <v>696</v>
      </c>
      <c r="U110" s="7">
        <v>670</v>
      </c>
      <c r="V110" s="7">
        <v>487</v>
      </c>
      <c r="W110" s="7">
        <v>443</v>
      </c>
      <c r="X110" s="7">
        <v>311</v>
      </c>
      <c r="Y110" s="7">
        <v>677</v>
      </c>
      <c r="Z110" s="7">
        <v>75</v>
      </c>
      <c r="AA110" s="7">
        <v>2944</v>
      </c>
      <c r="AB110" s="7">
        <v>2971</v>
      </c>
      <c r="AC110" s="7">
        <v>2681</v>
      </c>
      <c r="AD110" s="7">
        <v>2386</v>
      </c>
      <c r="AE110" s="7">
        <v>1991</v>
      </c>
      <c r="AF110" s="7">
        <v>1655</v>
      </c>
      <c r="AG110" s="7">
        <v>1257</v>
      </c>
      <c r="AH110" s="7">
        <v>1048</v>
      </c>
      <c r="AI110" s="7">
        <v>749</v>
      </c>
      <c r="AJ110" s="7">
        <v>693</v>
      </c>
      <c r="AK110" s="7">
        <v>524</v>
      </c>
      <c r="AL110" s="7">
        <v>431</v>
      </c>
      <c r="AM110" s="7">
        <v>349</v>
      </c>
      <c r="AN110" s="7">
        <v>751</v>
      </c>
      <c r="AO110" s="7">
        <v>77</v>
      </c>
      <c r="AP110">
        <v>40023</v>
      </c>
      <c r="AQ110">
        <v>24</v>
      </c>
      <c r="AR110">
        <v>4</v>
      </c>
      <c r="AS110" t="s">
        <v>358</v>
      </c>
      <c r="AT110">
        <v>217</v>
      </c>
      <c r="AU110" s="7">
        <v>36353</v>
      </c>
      <c r="AV110" s="7">
        <v>17829</v>
      </c>
      <c r="AW110" s="7">
        <v>18524</v>
      </c>
      <c r="AX110" s="7">
        <v>25243</v>
      </c>
      <c r="AY110" s="7">
        <v>36353</v>
      </c>
      <c r="AZ110" s="7">
        <v>34085</v>
      </c>
      <c r="BA110" s="7">
        <v>2268</v>
      </c>
      <c r="BB110" s="7">
        <v>1232</v>
      </c>
      <c r="BC110" s="7">
        <v>1214</v>
      </c>
      <c r="BD110" s="7">
        <v>3032</v>
      </c>
      <c r="BE110" s="7">
        <v>2929</v>
      </c>
      <c r="BF110" s="7">
        <v>2832</v>
      </c>
      <c r="BG110" s="7">
        <v>2656</v>
      </c>
      <c r="BH110" s="7">
        <v>2318</v>
      </c>
      <c r="BI110" s="7">
        <v>2365</v>
      </c>
      <c r="BJ110" s="7">
        <v>1774</v>
      </c>
      <c r="BK110" s="7">
        <v>1963</v>
      </c>
      <c r="BL110" s="7">
        <v>1365</v>
      </c>
      <c r="BM110" s="7">
        <v>1635</v>
      </c>
      <c r="BN110" s="7">
        <v>1085</v>
      </c>
      <c r="BO110" s="7">
        <v>1249</v>
      </c>
      <c r="BP110" s="7">
        <v>925</v>
      </c>
      <c r="BQ110" s="7">
        <v>1041</v>
      </c>
      <c r="BR110" s="7">
        <v>690</v>
      </c>
      <c r="BS110" s="7">
        <v>744</v>
      </c>
      <c r="BT110" s="7">
        <v>667</v>
      </c>
      <c r="BU110" s="7">
        <v>689</v>
      </c>
      <c r="BV110" s="7">
        <v>484</v>
      </c>
      <c r="BW110" s="7">
        <v>520</v>
      </c>
      <c r="BX110" s="7">
        <v>441</v>
      </c>
      <c r="BY110" s="7">
        <v>427</v>
      </c>
      <c r="BZ110" s="7">
        <v>311</v>
      </c>
      <c r="CA110" s="7">
        <v>348</v>
      </c>
      <c r="CB110" s="7">
        <v>673</v>
      </c>
      <c r="CC110" s="7">
        <v>744</v>
      </c>
      <c r="CD110" s="7">
        <v>9908</v>
      </c>
      <c r="CE110" s="7">
        <v>5964</v>
      </c>
      <c r="CF110" s="7">
        <v>7843</v>
      </c>
      <c r="CG110" s="7">
        <v>12467</v>
      </c>
      <c r="CH110" s="7">
        <v>6315</v>
      </c>
      <c r="CI110" s="7">
        <v>817</v>
      </c>
      <c r="CJ110" s="7">
        <v>37085</v>
      </c>
      <c r="CK110" s="7">
        <v>3048</v>
      </c>
      <c r="CL110" s="7">
        <v>229</v>
      </c>
      <c r="CM110" s="7">
        <v>650</v>
      </c>
      <c r="CN110" s="7">
        <v>858</v>
      </c>
      <c r="CO110" s="7">
        <v>967</v>
      </c>
      <c r="CP110" s="7">
        <v>1065</v>
      </c>
      <c r="CQ110" s="7">
        <v>3363</v>
      </c>
      <c r="CR110" s="7">
        <v>6084</v>
      </c>
      <c r="CS110" s="7">
        <v>22772</v>
      </c>
      <c r="CT110" s="7">
        <v>1918</v>
      </c>
      <c r="CU110" s="7">
        <v>856</v>
      </c>
      <c r="CV110" s="7">
        <v>370</v>
      </c>
      <c r="CW110" s="7">
        <v>839</v>
      </c>
      <c r="CX110" s="7">
        <v>10</v>
      </c>
      <c r="CY110" s="7">
        <v>26739</v>
      </c>
      <c r="CZ110" s="7">
        <v>12113</v>
      </c>
      <c r="DA110" s="7">
        <v>67</v>
      </c>
      <c r="DB110" s="7">
        <v>229</v>
      </c>
      <c r="DC110" s="7">
        <v>4</v>
      </c>
      <c r="DD110" s="7">
        <v>3640</v>
      </c>
      <c r="DE110" s="7">
        <v>4354</v>
      </c>
      <c r="DF110" s="7">
        <v>29771</v>
      </c>
      <c r="DG110" s="7">
        <v>2503</v>
      </c>
      <c r="DH110" s="7">
        <v>0</v>
      </c>
      <c r="DI110" s="7">
        <v>0</v>
      </c>
      <c r="DJ110" s="7">
        <v>0</v>
      </c>
      <c r="DK110" s="7">
        <v>0</v>
      </c>
      <c r="DL110" s="7">
        <v>26</v>
      </c>
      <c r="DM110" s="7">
        <v>11</v>
      </c>
      <c r="DN110" s="7">
        <v>28</v>
      </c>
      <c r="DO110" s="7">
        <v>1</v>
      </c>
      <c r="DP110" s="7">
        <v>0</v>
      </c>
      <c r="DQ110" s="7">
        <v>0</v>
      </c>
      <c r="DR110" s="7">
        <v>0</v>
      </c>
      <c r="DS110" s="7">
        <v>0</v>
      </c>
      <c r="DT110" s="7">
        <v>56</v>
      </c>
      <c r="DU110" s="7">
        <v>67</v>
      </c>
      <c r="DV110" s="7">
        <v>25</v>
      </c>
      <c r="DW110" s="7">
        <v>22</v>
      </c>
      <c r="DX110" s="7">
        <v>12</v>
      </c>
      <c r="DY110" s="7">
        <v>14</v>
      </c>
      <c r="DZ110" s="7">
        <v>20</v>
      </c>
      <c r="EA110" s="7">
        <v>17</v>
      </c>
      <c r="EB110" s="7">
        <v>5</v>
      </c>
      <c r="EC110" s="7">
        <v>7</v>
      </c>
      <c r="ED110" s="7">
        <v>2</v>
      </c>
      <c r="EE110" s="7">
        <v>3</v>
      </c>
      <c r="EF110" s="7">
        <v>21</v>
      </c>
      <c r="EG110" s="7">
        <v>22</v>
      </c>
      <c r="EH110" s="7">
        <v>98</v>
      </c>
      <c r="EI110" s="7">
        <v>35</v>
      </c>
      <c r="EJ110" s="7">
        <v>18</v>
      </c>
      <c r="EK110" s="7">
        <v>26</v>
      </c>
      <c r="EL110" s="7">
        <v>11</v>
      </c>
      <c r="EM110" s="7">
        <v>3</v>
      </c>
      <c r="EN110" s="7">
        <v>31</v>
      </c>
      <c r="EO110" s="7">
        <v>9519</v>
      </c>
      <c r="EP110" s="7">
        <v>9446</v>
      </c>
      <c r="EQ110" s="7">
        <v>73</v>
      </c>
      <c r="ER110" s="7">
        <v>2923</v>
      </c>
      <c r="ES110" s="7">
        <v>2097</v>
      </c>
      <c r="ET110" s="7">
        <v>2094</v>
      </c>
      <c r="EU110" s="7">
        <v>3</v>
      </c>
      <c r="EV110" s="7">
        <v>11184</v>
      </c>
      <c r="EW110" s="134">
        <v>88.022621693000005</v>
      </c>
      <c r="EX110" s="134">
        <v>3.9385982629999998</v>
      </c>
      <c r="EY110" s="134">
        <v>2.1813774994999999</v>
      </c>
      <c r="EZ110" s="134">
        <v>5.1100787719999996</v>
      </c>
      <c r="FA110" s="134">
        <v>0.74732377299999997</v>
      </c>
      <c r="FB110" s="7">
        <v>1583</v>
      </c>
      <c r="FC110" s="7">
        <v>7439</v>
      </c>
      <c r="FD110" s="7">
        <v>383</v>
      </c>
      <c r="FE110" s="7">
        <v>1614</v>
      </c>
      <c r="FF110" s="7">
        <v>1</v>
      </c>
      <c r="FG110" s="7">
        <v>526</v>
      </c>
      <c r="FH110" s="7">
        <v>64</v>
      </c>
      <c r="FI110" s="134">
        <v>90.850333266000007</v>
      </c>
      <c r="FJ110" s="134">
        <v>4.8980004040000003</v>
      </c>
      <c r="FK110" s="134">
        <v>2.5247424763000001</v>
      </c>
      <c r="FL110" s="134">
        <v>1.7269238538</v>
      </c>
      <c r="FM110" s="151">
        <v>15841</v>
      </c>
      <c r="FN110" s="151">
        <v>3770</v>
      </c>
      <c r="FO110" s="7">
        <v>4831</v>
      </c>
      <c r="FP110" s="7">
        <v>36</v>
      </c>
      <c r="FQ110" s="7">
        <v>11</v>
      </c>
      <c r="FR110" s="7">
        <v>2</v>
      </c>
      <c r="FS110" s="7">
        <v>11468</v>
      </c>
      <c r="FT110" s="7">
        <v>62</v>
      </c>
      <c r="FU110" s="7">
        <v>25</v>
      </c>
      <c r="FV110" s="7">
        <v>150</v>
      </c>
      <c r="FW110" s="7">
        <v>16551</v>
      </c>
      <c r="FX110" s="7">
        <v>3796</v>
      </c>
      <c r="FY110" s="7">
        <v>5079</v>
      </c>
      <c r="FZ110" s="7">
        <v>29</v>
      </c>
      <c r="GA110" s="7">
        <v>7</v>
      </c>
      <c r="GB110" s="7">
        <v>3</v>
      </c>
      <c r="GC110" s="7">
        <v>11962</v>
      </c>
      <c r="GD110" s="7">
        <v>39</v>
      </c>
      <c r="GE110" s="7">
        <v>30</v>
      </c>
      <c r="GF110" s="7">
        <v>160</v>
      </c>
      <c r="GG110" s="7">
        <v>2318</v>
      </c>
      <c r="GH110" s="7">
        <v>2538</v>
      </c>
      <c r="GI110" s="7">
        <v>2369</v>
      </c>
      <c r="GJ110" s="7">
        <v>1892</v>
      </c>
      <c r="GK110" s="7">
        <v>1312</v>
      </c>
      <c r="GL110" s="7">
        <v>1046</v>
      </c>
      <c r="GM110" s="7">
        <v>897</v>
      </c>
      <c r="GN110" s="7">
        <v>771</v>
      </c>
      <c r="GO110" s="7">
        <v>561</v>
      </c>
      <c r="GP110" s="7">
        <v>553</v>
      </c>
      <c r="GQ110" s="7">
        <v>389</v>
      </c>
      <c r="GR110" s="7">
        <v>355</v>
      </c>
      <c r="GS110" s="7">
        <v>267</v>
      </c>
      <c r="GT110" s="7">
        <v>170</v>
      </c>
      <c r="GU110" s="7">
        <v>187</v>
      </c>
      <c r="GV110" s="7">
        <v>86</v>
      </c>
      <c r="GW110" s="7">
        <v>67</v>
      </c>
      <c r="GX110" s="7">
        <v>57</v>
      </c>
      <c r="GY110" s="7">
        <v>2302</v>
      </c>
      <c r="GZ110" s="7">
        <v>2472</v>
      </c>
      <c r="HA110" s="7">
        <v>2214</v>
      </c>
      <c r="HB110" s="7">
        <v>1842</v>
      </c>
      <c r="HC110" s="7">
        <v>1533</v>
      </c>
      <c r="HD110" s="7">
        <v>1332</v>
      </c>
      <c r="HE110" s="7">
        <v>1054</v>
      </c>
      <c r="HF110" s="7">
        <v>880</v>
      </c>
      <c r="HG110" s="7">
        <v>625</v>
      </c>
      <c r="HH110" s="7">
        <v>593</v>
      </c>
      <c r="HI110" s="7">
        <v>443</v>
      </c>
      <c r="HJ110" s="7">
        <v>354</v>
      </c>
      <c r="HK110" s="7">
        <v>284</v>
      </c>
      <c r="HL110" s="7">
        <v>201</v>
      </c>
      <c r="HM110" s="7">
        <v>197</v>
      </c>
      <c r="HN110" s="7">
        <v>88</v>
      </c>
      <c r="HO110" s="7">
        <v>64</v>
      </c>
      <c r="HP110" s="7">
        <v>65</v>
      </c>
      <c r="HQ110" s="7">
        <v>7082</v>
      </c>
      <c r="HR110" s="7">
        <v>0</v>
      </c>
      <c r="HS110" s="7">
        <v>15</v>
      </c>
      <c r="HT110" s="7">
        <v>0</v>
      </c>
      <c r="HU110" s="7">
        <v>0</v>
      </c>
      <c r="HV110" s="7">
        <v>1</v>
      </c>
      <c r="HW110" s="7">
        <v>0</v>
      </c>
      <c r="HX110" s="7">
        <v>79</v>
      </c>
      <c r="HY110" s="7">
        <v>229</v>
      </c>
      <c r="HZ110" s="7">
        <v>650</v>
      </c>
      <c r="IA110" s="7">
        <v>858</v>
      </c>
      <c r="IB110" s="7">
        <v>967</v>
      </c>
      <c r="IC110" s="7">
        <v>1065</v>
      </c>
      <c r="ID110" s="7">
        <v>1011</v>
      </c>
      <c r="IE110" s="7">
        <v>698</v>
      </c>
      <c r="IF110" s="7">
        <v>594</v>
      </c>
      <c r="IG110" s="7">
        <v>1059</v>
      </c>
      <c r="IH110" s="7">
        <v>212</v>
      </c>
      <c r="II110" s="7">
        <v>3557</v>
      </c>
      <c r="IJ110" s="7">
        <v>2220</v>
      </c>
      <c r="IK110" s="7">
        <v>705</v>
      </c>
      <c r="IL110" s="7">
        <v>255</v>
      </c>
      <c r="IM110" s="7">
        <v>58</v>
      </c>
      <c r="IN110" s="7">
        <v>27</v>
      </c>
      <c r="IO110" s="7">
        <v>14</v>
      </c>
      <c r="IP110" s="7">
        <v>14</v>
      </c>
      <c r="IQ110" s="7">
        <v>3864</v>
      </c>
      <c r="IR110" s="7">
        <v>2241</v>
      </c>
      <c r="IS110" s="7">
        <v>670</v>
      </c>
      <c r="IT110" s="7">
        <v>230</v>
      </c>
      <c r="IU110" s="7">
        <v>73</v>
      </c>
      <c r="IV110" s="7">
        <v>1097</v>
      </c>
      <c r="IW110" s="7">
        <v>5216</v>
      </c>
      <c r="IX110" s="7">
        <v>138</v>
      </c>
      <c r="IY110" s="7">
        <v>50</v>
      </c>
      <c r="IZ110" s="7">
        <v>2</v>
      </c>
      <c r="JA110" s="7">
        <v>588</v>
      </c>
      <c r="JB110" s="7">
        <v>566</v>
      </c>
      <c r="JC110" s="7">
        <v>2203</v>
      </c>
      <c r="JD110" s="7">
        <v>175</v>
      </c>
      <c r="JE110" s="7">
        <v>32</v>
      </c>
      <c r="JF110" s="151">
        <v>6826.5183956491119</v>
      </c>
      <c r="JG110" s="151">
        <v>273.1389278417422</v>
      </c>
      <c r="JH110" s="7">
        <v>1605</v>
      </c>
      <c r="JI110" s="7">
        <v>5277</v>
      </c>
      <c r="JJ110" s="7">
        <v>214</v>
      </c>
      <c r="JK110" s="7">
        <v>35</v>
      </c>
      <c r="JL110" s="7">
        <v>166</v>
      </c>
      <c r="JM110" s="7">
        <v>64</v>
      </c>
      <c r="JN110" s="7">
        <v>300</v>
      </c>
      <c r="JO110" s="7">
        <v>3232</v>
      </c>
      <c r="JP110" s="7">
        <v>2191</v>
      </c>
      <c r="JQ110" s="7">
        <v>31</v>
      </c>
      <c r="JR110" s="7">
        <v>464</v>
      </c>
      <c r="JS110" s="7">
        <v>192</v>
      </c>
      <c r="JT110" s="7">
        <v>17</v>
      </c>
      <c r="JU110" s="151">
        <v>686.13493844955542</v>
      </c>
      <c r="JV110" s="151">
        <v>2035.8357562491858</v>
      </c>
      <c r="JW110" s="151">
        <v>4082.1563509776579</v>
      </c>
      <c r="JX110" s="151">
        <v>22.391349972712764</v>
      </c>
      <c r="JY110" s="7">
        <v>6851</v>
      </c>
      <c r="JZ110" s="7">
        <v>39880</v>
      </c>
      <c r="KA110" s="7">
        <v>0</v>
      </c>
      <c r="KB110" s="7">
        <v>34</v>
      </c>
      <c r="KC110" s="7">
        <v>0</v>
      </c>
      <c r="KD110" s="7">
        <v>0</v>
      </c>
      <c r="KE110" s="7">
        <v>6</v>
      </c>
      <c r="KF110" s="7">
        <v>0</v>
      </c>
      <c r="KG110" s="7">
        <v>348</v>
      </c>
      <c r="KH110" s="7">
        <v>8544</v>
      </c>
      <c r="KI110" s="7">
        <v>30190</v>
      </c>
      <c r="KJ110" s="7">
        <v>1181</v>
      </c>
      <c r="KK110" s="7">
        <v>212</v>
      </c>
      <c r="KL110" s="7">
        <v>3861</v>
      </c>
      <c r="KM110" s="7">
        <v>11456</v>
      </c>
      <c r="KN110" s="7">
        <v>22971</v>
      </c>
      <c r="KO110" s="7">
        <v>126</v>
      </c>
      <c r="KP110" s="7">
        <v>38414</v>
      </c>
      <c r="KQ110" s="7">
        <v>1537</v>
      </c>
      <c r="KR110" s="7">
        <v>6764</v>
      </c>
      <c r="KS110" s="7">
        <v>6764</v>
      </c>
      <c r="KT110" s="7">
        <v>1519</v>
      </c>
      <c r="KU110" s="7">
        <v>462</v>
      </c>
      <c r="KV110" s="7">
        <v>870</v>
      </c>
      <c r="KW110" s="7">
        <v>0</v>
      </c>
      <c r="KX110" s="7">
        <v>1512</v>
      </c>
      <c r="KY110" s="7">
        <v>385</v>
      </c>
      <c r="KZ110" s="7">
        <v>575</v>
      </c>
      <c r="LA110" s="7">
        <v>0</v>
      </c>
      <c r="LB110" s="7">
        <v>3523</v>
      </c>
      <c r="LC110" s="7">
        <v>3261</v>
      </c>
      <c r="LD110" s="7">
        <v>1685</v>
      </c>
      <c r="LE110" s="7">
        <v>4015</v>
      </c>
      <c r="LF110" s="7">
        <v>22655</v>
      </c>
      <c r="LG110" s="7">
        <v>35</v>
      </c>
      <c r="LH110" s="7">
        <v>6360</v>
      </c>
      <c r="LI110" s="7">
        <v>717</v>
      </c>
      <c r="LJ110" s="7">
        <v>1558</v>
      </c>
      <c r="LK110" s="7">
        <v>1</v>
      </c>
      <c r="LL110" s="7">
        <v>776</v>
      </c>
      <c r="LM110" s="7">
        <v>96</v>
      </c>
      <c r="LN110" s="7">
        <v>40</v>
      </c>
      <c r="LO110" s="7">
        <v>6719</v>
      </c>
      <c r="LP110" s="7">
        <v>474</v>
      </c>
      <c r="LQ110" s="7">
        <v>954</v>
      </c>
      <c r="LR110" s="7">
        <v>1</v>
      </c>
      <c r="LS110" s="7">
        <v>378</v>
      </c>
      <c r="LT110" s="7">
        <v>34</v>
      </c>
      <c r="LU110" s="232">
        <v>4.9020310632999999</v>
      </c>
      <c r="LV110" s="232">
        <v>5.6782802076000003</v>
      </c>
      <c r="LW110" s="232">
        <v>4.1925129161000001</v>
      </c>
      <c r="LX110" s="7">
        <v>7131</v>
      </c>
      <c r="LY110" s="7">
        <v>40127</v>
      </c>
    </row>
    <row r="111" spans="1:337" x14ac:dyDescent="0.25">
      <c r="A111" t="s">
        <v>224</v>
      </c>
      <c r="B111" t="s">
        <v>225</v>
      </c>
      <c r="C111" s="7">
        <v>26996</v>
      </c>
      <c r="D111">
        <v>37607</v>
      </c>
      <c r="F111">
        <f t="shared" si="6"/>
        <v>-37607</v>
      </c>
      <c r="G111">
        <f t="shared" si="7"/>
        <v>-100</v>
      </c>
      <c r="H111">
        <v>18230</v>
      </c>
      <c r="I111">
        <v>19377</v>
      </c>
      <c r="J111">
        <v>19022</v>
      </c>
      <c r="K111">
        <v>18585</v>
      </c>
      <c r="L111" s="7">
        <v>2481</v>
      </c>
      <c r="M111" s="7">
        <v>2482</v>
      </c>
      <c r="N111" s="7">
        <v>2428</v>
      </c>
      <c r="O111" s="7">
        <v>2099</v>
      </c>
      <c r="P111" s="7">
        <v>1618</v>
      </c>
      <c r="Q111" s="7">
        <v>1357</v>
      </c>
      <c r="R111" s="7">
        <v>1121</v>
      </c>
      <c r="S111" s="7">
        <v>1029</v>
      </c>
      <c r="T111" s="7">
        <v>774</v>
      </c>
      <c r="U111" s="7">
        <v>712</v>
      </c>
      <c r="V111" s="7">
        <v>550</v>
      </c>
      <c r="W111" s="7">
        <v>456</v>
      </c>
      <c r="X111" s="7">
        <v>361</v>
      </c>
      <c r="Y111" s="7">
        <v>717</v>
      </c>
      <c r="Z111" s="7">
        <v>45</v>
      </c>
      <c r="AA111" s="7">
        <v>2500</v>
      </c>
      <c r="AB111" s="7">
        <v>2502</v>
      </c>
      <c r="AC111" s="7">
        <v>2416</v>
      </c>
      <c r="AD111" s="7">
        <v>2325</v>
      </c>
      <c r="AE111" s="7">
        <v>1875</v>
      </c>
      <c r="AF111" s="7">
        <v>1465</v>
      </c>
      <c r="AG111" s="7">
        <v>1323</v>
      </c>
      <c r="AH111" s="7">
        <v>1116</v>
      </c>
      <c r="AI111" s="7">
        <v>843</v>
      </c>
      <c r="AJ111" s="7">
        <v>779</v>
      </c>
      <c r="AK111" s="7">
        <v>571</v>
      </c>
      <c r="AL111" s="7">
        <v>465</v>
      </c>
      <c r="AM111" s="7">
        <v>366</v>
      </c>
      <c r="AN111" s="7">
        <v>789</v>
      </c>
      <c r="AO111" s="7">
        <v>42</v>
      </c>
      <c r="AP111">
        <v>37223</v>
      </c>
      <c r="AQ111">
        <v>158</v>
      </c>
      <c r="AR111">
        <v>12</v>
      </c>
      <c r="AS111">
        <v>11</v>
      </c>
      <c r="AT111">
        <v>203</v>
      </c>
      <c r="AU111" s="7">
        <v>14680</v>
      </c>
      <c r="AV111" s="7">
        <v>7027</v>
      </c>
      <c r="AW111" s="7">
        <v>7653</v>
      </c>
      <c r="AX111" s="7">
        <v>9565</v>
      </c>
      <c r="AY111" s="7">
        <v>14680</v>
      </c>
      <c r="AZ111" s="7">
        <v>13327</v>
      </c>
      <c r="BA111" s="7">
        <v>1353</v>
      </c>
      <c r="BB111" s="7">
        <v>430</v>
      </c>
      <c r="BC111" s="7">
        <v>451</v>
      </c>
      <c r="BD111" s="7">
        <v>1122</v>
      </c>
      <c r="BE111" s="7">
        <v>1161</v>
      </c>
      <c r="BF111" s="7">
        <v>1132</v>
      </c>
      <c r="BG111" s="7">
        <v>1116</v>
      </c>
      <c r="BH111" s="7">
        <v>857</v>
      </c>
      <c r="BI111" s="7">
        <v>990</v>
      </c>
      <c r="BJ111" s="7">
        <v>636</v>
      </c>
      <c r="BK111" s="7">
        <v>785</v>
      </c>
      <c r="BL111" s="7">
        <v>562</v>
      </c>
      <c r="BM111" s="7">
        <v>569</v>
      </c>
      <c r="BN111" s="7">
        <v>431</v>
      </c>
      <c r="BO111" s="7">
        <v>516</v>
      </c>
      <c r="BP111" s="7">
        <v>388</v>
      </c>
      <c r="BQ111" s="7">
        <v>453</v>
      </c>
      <c r="BR111" s="7">
        <v>314</v>
      </c>
      <c r="BS111" s="7">
        <v>359</v>
      </c>
      <c r="BT111" s="7">
        <v>326</v>
      </c>
      <c r="BU111" s="7">
        <v>337</v>
      </c>
      <c r="BV111" s="7">
        <v>228</v>
      </c>
      <c r="BW111" s="7">
        <v>250</v>
      </c>
      <c r="BX111" s="7">
        <v>198</v>
      </c>
      <c r="BY111" s="7">
        <v>206</v>
      </c>
      <c r="BZ111" s="7">
        <v>146</v>
      </c>
      <c r="CA111" s="7">
        <v>150</v>
      </c>
      <c r="CB111" s="7">
        <v>257</v>
      </c>
      <c r="CC111" s="7">
        <v>310</v>
      </c>
      <c r="CD111" s="7">
        <v>5150</v>
      </c>
      <c r="CE111" s="7">
        <v>4410</v>
      </c>
      <c r="CF111" s="7">
        <v>1779</v>
      </c>
      <c r="CG111" s="7">
        <v>3108</v>
      </c>
      <c r="CH111" s="7">
        <v>6606</v>
      </c>
      <c r="CI111" s="7">
        <v>1309</v>
      </c>
      <c r="CJ111" s="7">
        <v>32896</v>
      </c>
      <c r="CK111" s="7">
        <v>4613</v>
      </c>
      <c r="CL111" s="7">
        <v>441</v>
      </c>
      <c r="CM111" s="7">
        <v>915</v>
      </c>
      <c r="CN111" s="7">
        <v>1175</v>
      </c>
      <c r="CO111" s="7">
        <v>1490</v>
      </c>
      <c r="CP111" s="7">
        <v>1348</v>
      </c>
      <c r="CQ111" s="7">
        <v>2546</v>
      </c>
      <c r="CR111" s="7">
        <v>6321</v>
      </c>
      <c r="CS111" s="7">
        <v>19843</v>
      </c>
      <c r="CT111" s="7">
        <v>1504</v>
      </c>
      <c r="CU111" s="7">
        <v>655</v>
      </c>
      <c r="CV111" s="7">
        <v>273</v>
      </c>
      <c r="CW111" s="7">
        <v>739</v>
      </c>
      <c r="CX111" s="7">
        <v>66</v>
      </c>
      <c r="CY111" s="7">
        <v>26600</v>
      </c>
      <c r="CZ111" s="7">
        <v>9161</v>
      </c>
      <c r="DA111" s="7">
        <v>210</v>
      </c>
      <c r="DB111" s="7">
        <v>441</v>
      </c>
      <c r="DC111" s="7">
        <v>28</v>
      </c>
      <c r="DD111" s="7">
        <v>4352</v>
      </c>
      <c r="DE111" s="7">
        <v>6576</v>
      </c>
      <c r="DF111" s="7">
        <v>7657</v>
      </c>
      <c r="DG111" s="7">
        <v>2782</v>
      </c>
      <c r="DH111" s="7">
        <v>0</v>
      </c>
      <c r="DI111" s="7">
        <v>16240</v>
      </c>
      <c r="DJ111" s="7">
        <v>0</v>
      </c>
      <c r="DK111" s="7">
        <v>0</v>
      </c>
      <c r="DL111" s="7">
        <v>69</v>
      </c>
      <c r="DM111" s="7">
        <v>19</v>
      </c>
      <c r="DN111" s="7">
        <v>10</v>
      </c>
      <c r="DO111" s="7">
        <v>1</v>
      </c>
      <c r="DP111" s="7">
        <v>0</v>
      </c>
      <c r="DQ111" s="7">
        <v>1</v>
      </c>
      <c r="DR111" s="7">
        <v>0</v>
      </c>
      <c r="DS111" s="7">
        <v>0</v>
      </c>
      <c r="DT111" s="7">
        <v>186</v>
      </c>
      <c r="DU111" s="7">
        <v>231</v>
      </c>
      <c r="DV111" s="7">
        <v>84</v>
      </c>
      <c r="DW111" s="7">
        <v>116</v>
      </c>
      <c r="DX111" s="7">
        <v>49</v>
      </c>
      <c r="DY111" s="7">
        <v>55</v>
      </c>
      <c r="DZ111" s="7">
        <v>53</v>
      </c>
      <c r="EA111" s="7">
        <v>44</v>
      </c>
      <c r="EB111" s="7">
        <v>9</v>
      </c>
      <c r="EC111" s="7">
        <v>14</v>
      </c>
      <c r="ED111" s="7">
        <v>11</v>
      </c>
      <c r="EE111" s="7">
        <v>11</v>
      </c>
      <c r="EF111" s="7">
        <v>52</v>
      </c>
      <c r="EG111" s="7">
        <v>51</v>
      </c>
      <c r="EH111" s="7">
        <v>274</v>
      </c>
      <c r="EI111" s="7">
        <v>125</v>
      </c>
      <c r="EJ111" s="7">
        <v>61</v>
      </c>
      <c r="EK111" s="7">
        <v>48</v>
      </c>
      <c r="EL111" s="7">
        <v>18</v>
      </c>
      <c r="EM111" s="7">
        <v>11</v>
      </c>
      <c r="EN111" s="7">
        <v>63</v>
      </c>
      <c r="EO111" s="7">
        <v>9973</v>
      </c>
      <c r="EP111" s="7">
        <v>9711</v>
      </c>
      <c r="EQ111" s="7">
        <v>262</v>
      </c>
      <c r="ER111" s="7">
        <v>2167</v>
      </c>
      <c r="ES111" s="7">
        <v>2158</v>
      </c>
      <c r="ET111" s="7">
        <v>2136</v>
      </c>
      <c r="EU111" s="7">
        <v>22</v>
      </c>
      <c r="EV111" s="7">
        <v>11135</v>
      </c>
      <c r="EW111" s="134">
        <v>44.764890282000003</v>
      </c>
      <c r="EX111" s="134">
        <v>24.451410658</v>
      </c>
      <c r="EY111" s="134">
        <v>13.416927899999999</v>
      </c>
      <c r="EZ111" s="134">
        <v>16.865203762</v>
      </c>
      <c r="FA111" s="134">
        <v>0.50156739809999995</v>
      </c>
      <c r="FB111" s="7">
        <v>2818</v>
      </c>
      <c r="FC111" s="7">
        <v>6638</v>
      </c>
      <c r="FD111" s="7">
        <v>278</v>
      </c>
      <c r="FE111" s="7">
        <v>1311</v>
      </c>
      <c r="FF111" s="7">
        <v>7</v>
      </c>
      <c r="FG111" s="7">
        <v>611</v>
      </c>
      <c r="FH111" s="7">
        <v>458</v>
      </c>
      <c r="FI111" s="134">
        <v>57.742946707999998</v>
      </c>
      <c r="FJ111" s="134">
        <v>20.062695925</v>
      </c>
      <c r="FK111" s="134">
        <v>11.724137931</v>
      </c>
      <c r="FL111" s="134">
        <v>10.470219436000001</v>
      </c>
      <c r="FM111" s="151">
        <v>10826</v>
      </c>
      <c r="FN111" s="151">
        <v>7309</v>
      </c>
      <c r="FO111" s="7">
        <v>229</v>
      </c>
      <c r="FP111" s="7">
        <v>173</v>
      </c>
      <c r="FQ111" s="7">
        <v>58</v>
      </c>
      <c r="FR111" s="7">
        <v>10</v>
      </c>
      <c r="FS111" s="7">
        <v>10261</v>
      </c>
      <c r="FT111" s="7">
        <v>14</v>
      </c>
      <c r="FU111" s="7">
        <v>86</v>
      </c>
      <c r="FV111" s="7">
        <v>95</v>
      </c>
      <c r="FW111" s="7">
        <v>12131</v>
      </c>
      <c r="FX111" s="7">
        <v>7104</v>
      </c>
      <c r="FY111" s="7">
        <v>184</v>
      </c>
      <c r="FZ111" s="7">
        <v>231</v>
      </c>
      <c r="GA111" s="7">
        <v>57</v>
      </c>
      <c r="GB111" s="7">
        <v>12</v>
      </c>
      <c r="GC111" s="7">
        <v>11559</v>
      </c>
      <c r="GD111" s="7">
        <v>15</v>
      </c>
      <c r="GE111" s="7">
        <v>79</v>
      </c>
      <c r="GF111" s="7">
        <v>142</v>
      </c>
      <c r="GG111" s="7">
        <v>1389</v>
      </c>
      <c r="GH111" s="7">
        <v>1622</v>
      </c>
      <c r="GI111" s="7">
        <v>1562</v>
      </c>
      <c r="GJ111" s="7">
        <v>1177</v>
      </c>
      <c r="GK111" s="7">
        <v>767</v>
      </c>
      <c r="GL111" s="7">
        <v>748</v>
      </c>
      <c r="GM111" s="7">
        <v>712</v>
      </c>
      <c r="GN111" s="7">
        <v>639</v>
      </c>
      <c r="GO111" s="7">
        <v>486</v>
      </c>
      <c r="GP111" s="7">
        <v>434</v>
      </c>
      <c r="GQ111" s="7">
        <v>331</v>
      </c>
      <c r="GR111" s="7">
        <v>281</v>
      </c>
      <c r="GS111" s="7">
        <v>196</v>
      </c>
      <c r="GT111" s="7">
        <v>137</v>
      </c>
      <c r="GU111" s="7">
        <v>134</v>
      </c>
      <c r="GV111" s="7">
        <v>89</v>
      </c>
      <c r="GW111" s="7">
        <v>61</v>
      </c>
      <c r="GX111" s="7">
        <v>55</v>
      </c>
      <c r="GY111" s="7">
        <v>1421</v>
      </c>
      <c r="GZ111" s="7">
        <v>1561</v>
      </c>
      <c r="HA111" s="7">
        <v>1539</v>
      </c>
      <c r="HB111" s="7">
        <v>1333</v>
      </c>
      <c r="HC111" s="7">
        <v>1044</v>
      </c>
      <c r="HD111" s="7">
        <v>973</v>
      </c>
      <c r="HE111" s="7">
        <v>902</v>
      </c>
      <c r="HF111" s="7">
        <v>770</v>
      </c>
      <c r="HG111" s="7">
        <v>601</v>
      </c>
      <c r="HH111" s="7">
        <v>514</v>
      </c>
      <c r="HI111" s="7">
        <v>398</v>
      </c>
      <c r="HJ111" s="7">
        <v>317</v>
      </c>
      <c r="HK111" s="7">
        <v>216</v>
      </c>
      <c r="HL111" s="7">
        <v>188</v>
      </c>
      <c r="HM111" s="7">
        <v>163</v>
      </c>
      <c r="HN111" s="7">
        <v>86</v>
      </c>
      <c r="HO111" s="7">
        <v>46</v>
      </c>
      <c r="HP111" s="7">
        <v>52</v>
      </c>
      <c r="HQ111" s="7">
        <v>7886</v>
      </c>
      <c r="HR111" s="7">
        <v>0</v>
      </c>
      <c r="HS111" s="7">
        <v>0</v>
      </c>
      <c r="HT111" s="7">
        <v>0</v>
      </c>
      <c r="HU111" s="7">
        <v>0</v>
      </c>
      <c r="HV111" s="7">
        <v>0</v>
      </c>
      <c r="HW111" s="7">
        <v>0</v>
      </c>
      <c r="HX111" s="7">
        <v>51</v>
      </c>
      <c r="HY111" s="7">
        <v>441</v>
      </c>
      <c r="HZ111" s="7">
        <v>915</v>
      </c>
      <c r="IA111" s="7">
        <v>1175</v>
      </c>
      <c r="IB111" s="7">
        <v>1490</v>
      </c>
      <c r="IC111" s="7">
        <v>1348</v>
      </c>
      <c r="ID111" s="7">
        <v>1047</v>
      </c>
      <c r="IE111" s="7">
        <v>521</v>
      </c>
      <c r="IF111" s="7">
        <v>396</v>
      </c>
      <c r="IG111" s="7">
        <v>582</v>
      </c>
      <c r="IH111" s="7">
        <v>439</v>
      </c>
      <c r="II111" s="7">
        <v>2979</v>
      </c>
      <c r="IJ111" s="7">
        <v>2280</v>
      </c>
      <c r="IK111" s="7">
        <v>1258</v>
      </c>
      <c r="IL111" s="7">
        <v>556</v>
      </c>
      <c r="IM111" s="7">
        <v>217</v>
      </c>
      <c r="IN111" s="7">
        <v>69</v>
      </c>
      <c r="IO111" s="7">
        <v>42</v>
      </c>
      <c r="IP111" s="7">
        <v>15</v>
      </c>
      <c r="IQ111" s="7">
        <v>4142</v>
      </c>
      <c r="IR111" s="7">
        <v>2438</v>
      </c>
      <c r="IS111" s="7">
        <v>929</v>
      </c>
      <c r="IT111" s="7">
        <v>277</v>
      </c>
      <c r="IU111" s="7">
        <v>78</v>
      </c>
      <c r="IV111" s="7">
        <v>3938</v>
      </c>
      <c r="IW111" s="7">
        <v>3129</v>
      </c>
      <c r="IX111" s="7">
        <v>145</v>
      </c>
      <c r="IY111" s="7">
        <v>101</v>
      </c>
      <c r="IZ111" s="7">
        <v>83</v>
      </c>
      <c r="JA111" s="7">
        <v>452</v>
      </c>
      <c r="JB111" s="7">
        <v>5115</v>
      </c>
      <c r="JC111" s="7">
        <v>791</v>
      </c>
      <c r="JD111" s="7">
        <v>346</v>
      </c>
      <c r="JE111" s="7">
        <v>10</v>
      </c>
      <c r="JF111" s="151">
        <v>7168.6357625284945</v>
      </c>
      <c r="JG111" s="151">
        <v>694.87570840710976</v>
      </c>
      <c r="JH111" s="7">
        <v>1477</v>
      </c>
      <c r="JI111" s="7">
        <v>6067</v>
      </c>
      <c r="JJ111" s="7">
        <v>306</v>
      </c>
      <c r="JK111" s="7">
        <v>65</v>
      </c>
      <c r="JL111" s="7">
        <v>2069</v>
      </c>
      <c r="JM111" s="7">
        <v>1644</v>
      </c>
      <c r="JN111" s="7">
        <v>1170</v>
      </c>
      <c r="JO111" s="7">
        <v>5283</v>
      </c>
      <c r="JP111" s="7">
        <v>5103</v>
      </c>
      <c r="JQ111" s="7">
        <v>316</v>
      </c>
      <c r="JR111" s="7">
        <v>498</v>
      </c>
      <c r="JS111" s="7">
        <v>2504</v>
      </c>
      <c r="JT111" s="7">
        <v>146</v>
      </c>
      <c r="JU111" s="151">
        <v>1782.8742363594504</v>
      </c>
      <c r="JV111" s="151">
        <v>3849.1429690416307</v>
      </c>
      <c r="JW111" s="151">
        <v>1469.0934351443359</v>
      </c>
      <c r="JX111" s="151">
        <v>67.525121983077781</v>
      </c>
      <c r="JY111" s="7">
        <v>7575</v>
      </c>
      <c r="JZ111" s="7">
        <v>37383</v>
      </c>
      <c r="KA111" s="7">
        <v>0</v>
      </c>
      <c r="KB111" s="7">
        <v>0</v>
      </c>
      <c r="KC111" s="7">
        <v>0</v>
      </c>
      <c r="KD111" s="7">
        <v>0</v>
      </c>
      <c r="KE111" s="7">
        <v>0</v>
      </c>
      <c r="KF111" s="7">
        <v>0</v>
      </c>
      <c r="KG111" s="7">
        <v>192</v>
      </c>
      <c r="KH111" s="7">
        <v>6773</v>
      </c>
      <c r="KI111" s="7">
        <v>29255</v>
      </c>
      <c r="KJ111" s="7">
        <v>1177</v>
      </c>
      <c r="KK111" s="7">
        <v>304</v>
      </c>
      <c r="KL111" s="7">
        <v>8449</v>
      </c>
      <c r="KM111" s="7">
        <v>18241</v>
      </c>
      <c r="KN111" s="7">
        <v>6962</v>
      </c>
      <c r="KO111" s="7">
        <v>320</v>
      </c>
      <c r="KP111" s="7">
        <v>33972</v>
      </c>
      <c r="KQ111" s="7">
        <v>3293</v>
      </c>
      <c r="KR111" s="7">
        <v>5326</v>
      </c>
      <c r="KS111" s="7">
        <v>5326</v>
      </c>
      <c r="KT111" s="7">
        <v>1285</v>
      </c>
      <c r="KU111" s="7">
        <v>244</v>
      </c>
      <c r="KV111" s="7">
        <v>606</v>
      </c>
      <c r="KW111" s="7">
        <v>1</v>
      </c>
      <c r="KX111" s="7">
        <v>1244</v>
      </c>
      <c r="KY111" s="7">
        <v>261</v>
      </c>
      <c r="KZ111" s="7">
        <v>522</v>
      </c>
      <c r="LA111" s="7">
        <v>0</v>
      </c>
      <c r="LB111" s="7">
        <v>3166</v>
      </c>
      <c r="LC111" s="7">
        <v>3163</v>
      </c>
      <c r="LD111" s="7">
        <v>2527</v>
      </c>
      <c r="LE111" s="7">
        <v>4354</v>
      </c>
      <c r="LF111" s="7">
        <v>22711</v>
      </c>
      <c r="LG111" s="7">
        <v>36</v>
      </c>
      <c r="LH111" s="7">
        <v>5542</v>
      </c>
      <c r="LI111" s="7">
        <v>451</v>
      </c>
      <c r="LJ111" s="7">
        <v>1154</v>
      </c>
      <c r="LK111" s="7">
        <v>3</v>
      </c>
      <c r="LL111" s="7">
        <v>635</v>
      </c>
      <c r="LM111" s="7">
        <v>411</v>
      </c>
      <c r="LN111" s="7">
        <v>37</v>
      </c>
      <c r="LO111" s="7">
        <v>5583</v>
      </c>
      <c r="LP111" s="7">
        <v>352</v>
      </c>
      <c r="LQ111" s="7">
        <v>1015</v>
      </c>
      <c r="LR111" s="7">
        <v>5</v>
      </c>
      <c r="LS111" s="7">
        <v>561</v>
      </c>
      <c r="LT111" s="7">
        <v>253</v>
      </c>
      <c r="LU111" s="232">
        <v>4.4130972356999996</v>
      </c>
      <c r="LV111" s="232">
        <v>4.8835005573999997</v>
      </c>
      <c r="LW111" s="232">
        <v>3.9869550580999999</v>
      </c>
      <c r="LX111" s="7">
        <v>7915</v>
      </c>
      <c r="LY111" s="7">
        <v>37509</v>
      </c>
    </row>
    <row r="112" spans="1:337" x14ac:dyDescent="0.25">
      <c r="A112" t="s">
        <v>226</v>
      </c>
      <c r="B112" t="s">
        <v>227</v>
      </c>
      <c r="C112" s="7">
        <v>58153</v>
      </c>
      <c r="D112">
        <v>71432</v>
      </c>
      <c r="F112">
        <f t="shared" si="6"/>
        <v>-71432</v>
      </c>
      <c r="G112">
        <f t="shared" si="7"/>
        <v>-100</v>
      </c>
      <c r="H112">
        <v>35704</v>
      </c>
      <c r="I112">
        <v>35728</v>
      </c>
      <c r="J112">
        <v>20906</v>
      </c>
      <c r="K112">
        <v>50526</v>
      </c>
      <c r="L112" s="7">
        <v>4404</v>
      </c>
      <c r="M112" s="7">
        <v>4734</v>
      </c>
      <c r="N112" s="7">
        <v>4659</v>
      </c>
      <c r="O112" s="7">
        <v>4244</v>
      </c>
      <c r="P112" s="7">
        <v>3236</v>
      </c>
      <c r="Q112" s="7">
        <v>2480</v>
      </c>
      <c r="R112" s="7">
        <v>2224</v>
      </c>
      <c r="S112" s="7">
        <v>1846</v>
      </c>
      <c r="T112" s="7">
        <v>1412</v>
      </c>
      <c r="U112" s="7">
        <v>1386</v>
      </c>
      <c r="V112" s="7">
        <v>1093</v>
      </c>
      <c r="W112" s="7">
        <v>898</v>
      </c>
      <c r="X112" s="7">
        <v>807</v>
      </c>
      <c r="Y112" s="7">
        <v>1681</v>
      </c>
      <c r="Z112" s="7">
        <v>600</v>
      </c>
      <c r="AA112" s="7">
        <v>4385</v>
      </c>
      <c r="AB112" s="7">
        <v>4634</v>
      </c>
      <c r="AC112" s="7">
        <v>4665</v>
      </c>
      <c r="AD112" s="7">
        <v>4189</v>
      </c>
      <c r="AE112" s="7">
        <v>3226</v>
      </c>
      <c r="AF112" s="7">
        <v>2532</v>
      </c>
      <c r="AG112" s="7">
        <v>2191</v>
      </c>
      <c r="AH112" s="7">
        <v>1885</v>
      </c>
      <c r="AI112" s="7">
        <v>1469</v>
      </c>
      <c r="AJ112" s="7">
        <v>1463</v>
      </c>
      <c r="AK112" s="7">
        <v>1158</v>
      </c>
      <c r="AL112" s="7">
        <v>925</v>
      </c>
      <c r="AM112" s="7">
        <v>788</v>
      </c>
      <c r="AN112" s="7">
        <v>1617</v>
      </c>
      <c r="AO112" s="7">
        <v>601</v>
      </c>
      <c r="AP112">
        <v>69821</v>
      </c>
      <c r="AQ112">
        <v>239</v>
      </c>
      <c r="AR112">
        <v>41</v>
      </c>
      <c r="AS112" t="s">
        <v>358</v>
      </c>
      <c r="AT112">
        <v>1331</v>
      </c>
      <c r="AU112" s="7">
        <v>61709</v>
      </c>
      <c r="AV112" s="7">
        <v>30862</v>
      </c>
      <c r="AW112" s="7">
        <v>30847</v>
      </c>
      <c r="AX112" s="7">
        <v>45517</v>
      </c>
      <c r="AY112" s="7">
        <v>61709</v>
      </c>
      <c r="AZ112" s="7">
        <v>44937</v>
      </c>
      <c r="BA112" s="7">
        <v>16772</v>
      </c>
      <c r="BB112" s="7">
        <v>1592</v>
      </c>
      <c r="BC112" s="7">
        <v>1561</v>
      </c>
      <c r="BD112" s="7">
        <v>4396</v>
      </c>
      <c r="BE112" s="7">
        <v>4318</v>
      </c>
      <c r="BF112" s="7">
        <v>4401</v>
      </c>
      <c r="BG112" s="7">
        <v>4400</v>
      </c>
      <c r="BH112" s="7">
        <v>4024</v>
      </c>
      <c r="BI112" s="7">
        <v>3995</v>
      </c>
      <c r="BJ112" s="7">
        <v>3103</v>
      </c>
      <c r="BK112" s="7">
        <v>3088</v>
      </c>
      <c r="BL112" s="7">
        <v>2370</v>
      </c>
      <c r="BM112" s="7">
        <v>2401</v>
      </c>
      <c r="BN112" s="7">
        <v>2114</v>
      </c>
      <c r="BO112" s="7">
        <v>2090</v>
      </c>
      <c r="BP112" s="7">
        <v>1783</v>
      </c>
      <c r="BQ112" s="7">
        <v>1789</v>
      </c>
      <c r="BR112" s="7">
        <v>1354</v>
      </c>
      <c r="BS112" s="7">
        <v>1398</v>
      </c>
      <c r="BT112" s="7">
        <v>1335</v>
      </c>
      <c r="BU112" s="7">
        <v>1406</v>
      </c>
      <c r="BV112" s="7">
        <v>1065</v>
      </c>
      <c r="BW112" s="7">
        <v>1135</v>
      </c>
      <c r="BX112" s="7">
        <v>876</v>
      </c>
      <c r="BY112" s="7">
        <v>895</v>
      </c>
      <c r="BZ112" s="7">
        <v>791</v>
      </c>
      <c r="CA112" s="7">
        <v>778</v>
      </c>
      <c r="CB112" s="7">
        <v>1658</v>
      </c>
      <c r="CC112" s="7">
        <v>1593</v>
      </c>
      <c r="CD112" s="7">
        <v>23533</v>
      </c>
      <c r="CE112" s="7">
        <v>19151</v>
      </c>
      <c r="CF112" s="7">
        <v>7249</v>
      </c>
      <c r="CG112" s="7">
        <v>11606</v>
      </c>
      <c r="CH112" s="7">
        <v>12421</v>
      </c>
      <c r="CI112" s="7">
        <v>1362</v>
      </c>
      <c r="CJ112" s="7">
        <v>65243</v>
      </c>
      <c r="CK112" s="7">
        <v>5007</v>
      </c>
      <c r="CL112" s="7">
        <v>439</v>
      </c>
      <c r="CM112" s="7">
        <v>1382</v>
      </c>
      <c r="CN112" s="7">
        <v>1838</v>
      </c>
      <c r="CO112" s="7">
        <v>2424</v>
      </c>
      <c r="CP112" s="7">
        <v>2326</v>
      </c>
      <c r="CQ112" s="7">
        <v>5374</v>
      </c>
      <c r="CR112" s="7">
        <v>11691</v>
      </c>
      <c r="CS112" s="7">
        <v>37460</v>
      </c>
      <c r="CT112" s="7">
        <v>2972</v>
      </c>
      <c r="CU112" s="7">
        <v>1228</v>
      </c>
      <c r="CV112" s="7">
        <v>1023</v>
      </c>
      <c r="CW112" s="7">
        <v>1904</v>
      </c>
      <c r="CX112" s="7">
        <v>58</v>
      </c>
      <c r="CY112" s="7">
        <v>46998</v>
      </c>
      <c r="CZ112" s="7">
        <v>21772</v>
      </c>
      <c r="DA112" s="7">
        <v>271</v>
      </c>
      <c r="DB112" s="7">
        <v>439</v>
      </c>
      <c r="DC112" s="7">
        <v>4</v>
      </c>
      <c r="DD112" s="7">
        <v>7590</v>
      </c>
      <c r="DE112" s="7">
        <v>12425</v>
      </c>
      <c r="DF112" s="7">
        <v>30511</v>
      </c>
      <c r="DG112" s="7">
        <v>6967</v>
      </c>
      <c r="DH112" s="7">
        <v>13939</v>
      </c>
      <c r="DI112" s="7">
        <v>0</v>
      </c>
      <c r="DJ112" s="7">
        <v>0</v>
      </c>
      <c r="DK112" s="7">
        <v>0</v>
      </c>
      <c r="DL112" s="7">
        <v>87</v>
      </c>
      <c r="DM112" s="7">
        <v>35</v>
      </c>
      <c r="DN112" s="7">
        <v>32</v>
      </c>
      <c r="DO112" s="7">
        <v>2</v>
      </c>
      <c r="DP112" s="7">
        <v>2</v>
      </c>
      <c r="DQ112" s="7">
        <v>0</v>
      </c>
      <c r="DR112" s="7">
        <v>0</v>
      </c>
      <c r="DS112" s="7">
        <v>0</v>
      </c>
      <c r="DT112" s="7">
        <v>229</v>
      </c>
      <c r="DU112" s="7">
        <v>283</v>
      </c>
      <c r="DV112" s="7">
        <v>140</v>
      </c>
      <c r="DW112" s="7">
        <v>120</v>
      </c>
      <c r="DX112" s="7">
        <v>44</v>
      </c>
      <c r="DY112" s="7">
        <v>43</v>
      </c>
      <c r="DZ112" s="7">
        <v>110</v>
      </c>
      <c r="EA112" s="7">
        <v>107</v>
      </c>
      <c r="EB112" s="7">
        <v>22</v>
      </c>
      <c r="EC112" s="7">
        <v>19</v>
      </c>
      <c r="ED112" s="7">
        <v>18</v>
      </c>
      <c r="EE112" s="7">
        <v>14</v>
      </c>
      <c r="EF112" s="7">
        <v>105</v>
      </c>
      <c r="EG112" s="7">
        <v>96</v>
      </c>
      <c r="EH112" s="7">
        <v>252</v>
      </c>
      <c r="EI112" s="7">
        <v>154</v>
      </c>
      <c r="EJ112" s="7">
        <v>46</v>
      </c>
      <c r="EK112" s="7">
        <v>82</v>
      </c>
      <c r="EL112" s="7">
        <v>16</v>
      </c>
      <c r="EM112" s="7">
        <v>19</v>
      </c>
      <c r="EN112" s="7">
        <v>66</v>
      </c>
      <c r="EO112" s="7">
        <v>18297</v>
      </c>
      <c r="EP112" s="7">
        <v>18161</v>
      </c>
      <c r="EQ112" s="7">
        <v>136</v>
      </c>
      <c r="ER112" s="7">
        <v>5680</v>
      </c>
      <c r="ES112" s="7">
        <v>1786</v>
      </c>
      <c r="ET112" s="7">
        <v>1740</v>
      </c>
      <c r="EU112" s="7">
        <v>46</v>
      </c>
      <c r="EV112" s="7">
        <v>22363</v>
      </c>
      <c r="EW112" s="134">
        <v>82.484744934999995</v>
      </c>
      <c r="EX112" s="134">
        <v>4.7058823528999998</v>
      </c>
      <c r="EY112" s="134">
        <v>4.2323651452000002</v>
      </c>
      <c r="EZ112" s="134">
        <v>8.5770075665000007</v>
      </c>
      <c r="FA112" s="134">
        <v>0</v>
      </c>
      <c r="FB112" s="7">
        <v>3209</v>
      </c>
      <c r="FC112" s="7">
        <v>9044</v>
      </c>
      <c r="FD112" s="7">
        <v>923</v>
      </c>
      <c r="FE112" s="7">
        <v>3622</v>
      </c>
      <c r="FF112" s="7">
        <v>5</v>
      </c>
      <c r="FG112" s="7">
        <v>2425</v>
      </c>
      <c r="FH112" s="7">
        <v>819</v>
      </c>
      <c r="FI112" s="134">
        <v>85.423480596000005</v>
      </c>
      <c r="FJ112" s="134">
        <v>6.0727361483999998</v>
      </c>
      <c r="FK112" s="134">
        <v>7.7471320478000001</v>
      </c>
      <c r="FL112" s="134">
        <v>0.75665120819999998</v>
      </c>
      <c r="FM112" s="151">
        <v>14814</v>
      </c>
      <c r="FN112" s="151">
        <v>20215</v>
      </c>
      <c r="FO112" s="7">
        <v>2400</v>
      </c>
      <c r="FP112" s="7">
        <v>472</v>
      </c>
      <c r="FQ112" s="7">
        <v>90</v>
      </c>
      <c r="FR112" s="7">
        <v>33</v>
      </c>
      <c r="FS112" s="7">
        <v>11663</v>
      </c>
      <c r="FT112" s="7">
        <v>254</v>
      </c>
      <c r="FU112" s="7">
        <v>208</v>
      </c>
      <c r="FV112" s="7">
        <v>675</v>
      </c>
      <c r="FW112" s="7">
        <v>15619</v>
      </c>
      <c r="FX112" s="7">
        <v>19431</v>
      </c>
      <c r="FY112" s="7">
        <v>2346</v>
      </c>
      <c r="FZ112" s="7">
        <v>409</v>
      </c>
      <c r="GA112" s="7">
        <v>81</v>
      </c>
      <c r="GB112" s="7">
        <v>19</v>
      </c>
      <c r="GC112" s="7">
        <v>12629</v>
      </c>
      <c r="GD112" s="7">
        <v>229</v>
      </c>
      <c r="GE112" s="7">
        <v>225</v>
      </c>
      <c r="GF112" s="7">
        <v>678</v>
      </c>
      <c r="GG112" s="7">
        <v>1672</v>
      </c>
      <c r="GH112" s="7">
        <v>2073</v>
      </c>
      <c r="GI112" s="7">
        <v>2021</v>
      </c>
      <c r="GJ112" s="7">
        <v>1581</v>
      </c>
      <c r="GK112" s="7">
        <v>1057</v>
      </c>
      <c r="GL112" s="7">
        <v>997</v>
      </c>
      <c r="GM112" s="7">
        <v>991</v>
      </c>
      <c r="GN112" s="7">
        <v>900</v>
      </c>
      <c r="GO112" s="7">
        <v>650</v>
      </c>
      <c r="GP112" s="7">
        <v>649</v>
      </c>
      <c r="GQ112" s="7">
        <v>471</v>
      </c>
      <c r="GR112" s="7">
        <v>419</v>
      </c>
      <c r="GS112" s="7">
        <v>350</v>
      </c>
      <c r="GT112" s="7">
        <v>315</v>
      </c>
      <c r="GU112" s="7">
        <v>304</v>
      </c>
      <c r="GV112" s="7">
        <v>152</v>
      </c>
      <c r="GW112" s="7">
        <v>119</v>
      </c>
      <c r="GX112" s="7">
        <v>88</v>
      </c>
      <c r="GY112" s="7">
        <v>1623</v>
      </c>
      <c r="GZ112" s="7">
        <v>2026</v>
      </c>
      <c r="HA112" s="7">
        <v>1967</v>
      </c>
      <c r="HB112" s="7">
        <v>1617</v>
      </c>
      <c r="HC112" s="7">
        <v>1280</v>
      </c>
      <c r="HD112" s="7">
        <v>1191</v>
      </c>
      <c r="HE112" s="7">
        <v>1119</v>
      </c>
      <c r="HF112" s="7">
        <v>987</v>
      </c>
      <c r="HG112" s="7">
        <v>743</v>
      </c>
      <c r="HH112" s="7">
        <v>727</v>
      </c>
      <c r="HI112" s="7">
        <v>579</v>
      </c>
      <c r="HJ112" s="7">
        <v>484</v>
      </c>
      <c r="HK112" s="7">
        <v>361</v>
      </c>
      <c r="HL112" s="7">
        <v>328</v>
      </c>
      <c r="HM112" s="7">
        <v>272</v>
      </c>
      <c r="HN112" s="7">
        <v>144</v>
      </c>
      <c r="HO112" s="7">
        <v>96</v>
      </c>
      <c r="HP112" s="7">
        <v>71</v>
      </c>
      <c r="HQ112" s="7">
        <v>13690</v>
      </c>
      <c r="HR112" s="7">
        <v>25</v>
      </c>
      <c r="HS112" s="7">
        <v>4</v>
      </c>
      <c r="HT112" s="7">
        <v>1</v>
      </c>
      <c r="HU112" s="7">
        <v>11</v>
      </c>
      <c r="HV112" s="7">
        <v>2</v>
      </c>
      <c r="HW112" s="7">
        <v>0</v>
      </c>
      <c r="HX112" s="7">
        <v>444</v>
      </c>
      <c r="HY112" s="7">
        <v>439</v>
      </c>
      <c r="HZ112" s="7">
        <v>1380</v>
      </c>
      <c r="IA112" s="7">
        <v>1835</v>
      </c>
      <c r="IB112" s="7">
        <v>2422</v>
      </c>
      <c r="IC112" s="7">
        <v>2325</v>
      </c>
      <c r="ID112" s="7">
        <v>1977</v>
      </c>
      <c r="IE112" s="7">
        <v>1311</v>
      </c>
      <c r="IF112" s="7">
        <v>884</v>
      </c>
      <c r="IG112" s="7">
        <v>1197</v>
      </c>
      <c r="IH112" s="7">
        <v>1152</v>
      </c>
      <c r="II112" s="7">
        <v>6506</v>
      </c>
      <c r="IJ112" s="7">
        <v>3334</v>
      </c>
      <c r="IK112" s="7">
        <v>1570</v>
      </c>
      <c r="IL112" s="7">
        <v>681</v>
      </c>
      <c r="IM112" s="7">
        <v>241</v>
      </c>
      <c r="IN112" s="7">
        <v>81</v>
      </c>
      <c r="IO112" s="7">
        <v>54</v>
      </c>
      <c r="IP112" s="7">
        <v>76</v>
      </c>
      <c r="IQ112" s="7">
        <v>8312</v>
      </c>
      <c r="IR112" s="7">
        <v>3642</v>
      </c>
      <c r="IS112" s="7">
        <v>1167</v>
      </c>
      <c r="IT112" s="7">
        <v>437</v>
      </c>
      <c r="IU112" s="7">
        <v>155</v>
      </c>
      <c r="IV112" s="7">
        <v>3372</v>
      </c>
      <c r="IW112" s="7">
        <v>7325</v>
      </c>
      <c r="IX112" s="7">
        <v>98</v>
      </c>
      <c r="IY112" s="7">
        <v>160</v>
      </c>
      <c r="IZ112" s="7">
        <v>5</v>
      </c>
      <c r="JA112" s="7">
        <v>2733</v>
      </c>
      <c r="JB112" s="7">
        <v>3661</v>
      </c>
      <c r="JC112" s="7">
        <v>2111</v>
      </c>
      <c r="JD112" s="7">
        <v>711</v>
      </c>
      <c r="JE112" s="7">
        <v>1038</v>
      </c>
      <c r="JF112" s="151">
        <v>13351.558940821973</v>
      </c>
      <c r="JG112" s="151">
        <v>371.9938832904507</v>
      </c>
      <c r="JH112" s="7">
        <v>2489</v>
      </c>
      <c r="JI112" s="7">
        <v>11118</v>
      </c>
      <c r="JJ112" s="7">
        <v>101</v>
      </c>
      <c r="JK112" s="7">
        <v>62</v>
      </c>
      <c r="JL112" s="7">
        <v>2931</v>
      </c>
      <c r="JM112" s="7">
        <v>586</v>
      </c>
      <c r="JN112" s="7">
        <v>430</v>
      </c>
      <c r="JO112" s="7">
        <v>5924</v>
      </c>
      <c r="JP112" s="7">
        <v>6286</v>
      </c>
      <c r="JQ112" s="7">
        <v>340</v>
      </c>
      <c r="JR112" s="7">
        <v>296</v>
      </c>
      <c r="JS112" s="7">
        <v>1194</v>
      </c>
      <c r="JT112" s="7">
        <v>119</v>
      </c>
      <c r="JU112" s="151">
        <v>611.16083673510229</v>
      </c>
      <c r="JV112" s="151">
        <v>5655.2487826814086</v>
      </c>
      <c r="JW112" s="151">
        <v>7044.9284637712099</v>
      </c>
      <c r="JX112" s="151">
        <v>40.220857634252319</v>
      </c>
      <c r="JY112" s="7">
        <v>12501</v>
      </c>
      <c r="JZ112" s="7">
        <v>69758</v>
      </c>
      <c r="KA112" s="7">
        <v>130</v>
      </c>
      <c r="KB112" s="7">
        <v>23</v>
      </c>
      <c r="KC112" s="7">
        <v>5</v>
      </c>
      <c r="KD112" s="7">
        <v>47</v>
      </c>
      <c r="KE112" s="7">
        <v>14</v>
      </c>
      <c r="KF112" s="7">
        <v>0</v>
      </c>
      <c r="KG112" s="7">
        <v>1455</v>
      </c>
      <c r="KH112" s="7">
        <v>11976</v>
      </c>
      <c r="KI112" s="7">
        <v>57477</v>
      </c>
      <c r="KJ112" s="7">
        <v>458</v>
      </c>
      <c r="KK112" s="7">
        <v>278</v>
      </c>
      <c r="KL112" s="7">
        <v>3115</v>
      </c>
      <c r="KM112" s="7">
        <v>28824</v>
      </c>
      <c r="KN112" s="7">
        <v>35907</v>
      </c>
      <c r="KO112" s="7">
        <v>205</v>
      </c>
      <c r="KP112" s="7">
        <v>68051</v>
      </c>
      <c r="KQ112" s="7">
        <v>1896</v>
      </c>
      <c r="KR112" s="7">
        <v>12078</v>
      </c>
      <c r="KS112" s="7">
        <v>12078</v>
      </c>
      <c r="KT112" s="7">
        <v>2582</v>
      </c>
      <c r="KU112" s="7">
        <v>853</v>
      </c>
      <c r="KV112" s="7">
        <v>2083</v>
      </c>
      <c r="KW112" s="7">
        <v>3</v>
      </c>
      <c r="KX112" s="7">
        <v>2439</v>
      </c>
      <c r="KY112" s="7">
        <v>837</v>
      </c>
      <c r="KZ112" s="7">
        <v>1995</v>
      </c>
      <c r="LA112" s="7">
        <v>1</v>
      </c>
      <c r="LB112" s="7">
        <v>5939</v>
      </c>
      <c r="LC112" s="7">
        <v>6066</v>
      </c>
      <c r="LD112" s="7">
        <v>4211</v>
      </c>
      <c r="LE112" s="7">
        <v>8234</v>
      </c>
      <c r="LF112" s="7">
        <v>42750</v>
      </c>
      <c r="LG112" s="7">
        <v>88</v>
      </c>
      <c r="LH112" s="7">
        <v>8787</v>
      </c>
      <c r="LI112" s="7">
        <v>1698</v>
      </c>
      <c r="LJ112" s="7">
        <v>3828</v>
      </c>
      <c r="LK112" s="7">
        <v>6</v>
      </c>
      <c r="LL112" s="7">
        <v>3012</v>
      </c>
      <c r="LM112" s="7">
        <v>747</v>
      </c>
      <c r="LN112" s="7">
        <v>98</v>
      </c>
      <c r="LO112" s="7">
        <v>8030</v>
      </c>
      <c r="LP112" s="7">
        <v>1482</v>
      </c>
      <c r="LQ112" s="7">
        <v>2743</v>
      </c>
      <c r="LR112" s="7">
        <v>2</v>
      </c>
      <c r="LS112" s="7">
        <v>2124</v>
      </c>
      <c r="LT112" s="7">
        <v>432</v>
      </c>
      <c r="LU112" s="232">
        <v>5.4214848883000002</v>
      </c>
      <c r="LV112" s="232">
        <v>6.1803409946999999</v>
      </c>
      <c r="LW112" s="232">
        <v>4.6680228208000001</v>
      </c>
      <c r="LX112" s="7">
        <v>13770</v>
      </c>
      <c r="LY112" s="7">
        <v>70189</v>
      </c>
    </row>
    <row r="113" spans="1:337" x14ac:dyDescent="0.25">
      <c r="A113" t="s">
        <v>228</v>
      </c>
      <c r="B113" t="s">
        <v>229</v>
      </c>
      <c r="C113" s="7">
        <v>78438</v>
      </c>
      <c r="D113">
        <v>84594</v>
      </c>
      <c r="F113">
        <f t="shared" si="6"/>
        <v>-84594</v>
      </c>
      <c r="G113">
        <f t="shared" si="7"/>
        <v>-100</v>
      </c>
      <c r="H113">
        <v>41927</v>
      </c>
      <c r="I113">
        <v>42667</v>
      </c>
      <c r="J113">
        <v>49264</v>
      </c>
      <c r="K113">
        <v>35330</v>
      </c>
      <c r="L113" s="7">
        <v>4125</v>
      </c>
      <c r="M113" s="7">
        <v>4447</v>
      </c>
      <c r="N113" s="7">
        <v>4597</v>
      </c>
      <c r="O113" s="7">
        <v>4460</v>
      </c>
      <c r="P113" s="7">
        <v>3225</v>
      </c>
      <c r="Q113" s="7">
        <v>2774</v>
      </c>
      <c r="R113" s="7">
        <v>2884</v>
      </c>
      <c r="S113" s="7">
        <v>2839</v>
      </c>
      <c r="T113" s="7">
        <v>2502</v>
      </c>
      <c r="U113" s="7">
        <v>2289</v>
      </c>
      <c r="V113" s="7">
        <v>1993</v>
      </c>
      <c r="W113" s="7">
        <v>1560</v>
      </c>
      <c r="X113" s="7">
        <v>1315</v>
      </c>
      <c r="Y113" s="7">
        <v>2836</v>
      </c>
      <c r="Z113" s="7">
        <v>81</v>
      </c>
      <c r="AA113" s="7">
        <v>3900</v>
      </c>
      <c r="AB113" s="7">
        <v>4253</v>
      </c>
      <c r="AC113" s="7">
        <v>4290</v>
      </c>
      <c r="AD113" s="7">
        <v>4338</v>
      </c>
      <c r="AE113" s="7">
        <v>3471</v>
      </c>
      <c r="AF113" s="7">
        <v>3090</v>
      </c>
      <c r="AG113" s="7">
        <v>3297</v>
      </c>
      <c r="AH113" s="7">
        <v>3133</v>
      </c>
      <c r="AI113" s="7">
        <v>2628</v>
      </c>
      <c r="AJ113" s="7">
        <v>2334</v>
      </c>
      <c r="AK113" s="7">
        <v>2020</v>
      </c>
      <c r="AL113" s="7">
        <v>1523</v>
      </c>
      <c r="AM113" s="7">
        <v>1316</v>
      </c>
      <c r="AN113" s="7">
        <v>2989</v>
      </c>
      <c r="AO113" s="7">
        <v>85</v>
      </c>
      <c r="AP113">
        <v>80470</v>
      </c>
      <c r="AQ113">
        <v>3592</v>
      </c>
      <c r="AR113">
        <v>112</v>
      </c>
      <c r="AS113">
        <v>124</v>
      </c>
      <c r="AT113">
        <v>296</v>
      </c>
      <c r="AU113" s="7">
        <v>284</v>
      </c>
      <c r="AV113" s="7">
        <v>166</v>
      </c>
      <c r="AW113" s="7">
        <v>118</v>
      </c>
      <c r="AX113" s="7">
        <v>464</v>
      </c>
      <c r="AY113" s="7">
        <v>284</v>
      </c>
      <c r="AZ113" s="7">
        <v>65</v>
      </c>
      <c r="BA113" s="7">
        <v>219</v>
      </c>
      <c r="BB113" s="7">
        <v>2</v>
      </c>
      <c r="BC113" s="7">
        <v>1</v>
      </c>
      <c r="BD113" s="7">
        <v>5</v>
      </c>
      <c r="BE113" s="7">
        <v>5</v>
      </c>
      <c r="BF113" s="7">
        <v>6</v>
      </c>
      <c r="BG113" s="7">
        <v>3</v>
      </c>
      <c r="BH113" s="7">
        <v>5</v>
      </c>
      <c r="BI113" s="7">
        <v>8</v>
      </c>
      <c r="BJ113" s="7">
        <v>12</v>
      </c>
      <c r="BK113" s="7">
        <v>4</v>
      </c>
      <c r="BL113" s="7">
        <v>12</v>
      </c>
      <c r="BM113" s="7">
        <v>13</v>
      </c>
      <c r="BN113" s="7">
        <v>13</v>
      </c>
      <c r="BO113" s="7">
        <v>11</v>
      </c>
      <c r="BP113" s="7">
        <v>24</v>
      </c>
      <c r="BQ113" s="7">
        <v>13</v>
      </c>
      <c r="BR113" s="7">
        <v>14</v>
      </c>
      <c r="BS113" s="7">
        <v>12</v>
      </c>
      <c r="BT113" s="7">
        <v>14</v>
      </c>
      <c r="BU113" s="7">
        <v>6</v>
      </c>
      <c r="BV113" s="7">
        <v>18</v>
      </c>
      <c r="BW113" s="7">
        <v>11</v>
      </c>
      <c r="BX113" s="7">
        <v>14</v>
      </c>
      <c r="BY113" s="7">
        <v>6</v>
      </c>
      <c r="BZ113" s="7">
        <v>5</v>
      </c>
      <c r="CA113" s="7">
        <v>5</v>
      </c>
      <c r="CB113" s="7">
        <v>22</v>
      </c>
      <c r="CC113" s="7">
        <v>20</v>
      </c>
      <c r="CD113" s="7">
        <v>106</v>
      </c>
      <c r="CE113" s="7">
        <v>82</v>
      </c>
      <c r="CF113" s="7">
        <v>2</v>
      </c>
      <c r="CG113" s="7">
        <v>0</v>
      </c>
      <c r="CH113" s="7">
        <v>16601</v>
      </c>
      <c r="CI113" s="7">
        <v>5187</v>
      </c>
      <c r="CJ113" s="7">
        <v>66831</v>
      </c>
      <c r="CK113" s="7">
        <v>17253</v>
      </c>
      <c r="CL113" s="7">
        <v>1969</v>
      </c>
      <c r="CM113" s="7">
        <v>3606</v>
      </c>
      <c r="CN113" s="7">
        <v>4144</v>
      </c>
      <c r="CO113" s="7">
        <v>4789</v>
      </c>
      <c r="CP113" s="7">
        <v>3728</v>
      </c>
      <c r="CQ113" s="7">
        <v>3552</v>
      </c>
      <c r="CR113" s="7">
        <v>15665</v>
      </c>
      <c r="CS113" s="7">
        <v>34172</v>
      </c>
      <c r="CT113" s="7">
        <v>6212</v>
      </c>
      <c r="CU113" s="7">
        <v>1690</v>
      </c>
      <c r="CV113" s="7">
        <v>793</v>
      </c>
      <c r="CW113" s="7">
        <v>3112</v>
      </c>
      <c r="CX113" s="7">
        <v>358</v>
      </c>
      <c r="CY113" s="7">
        <v>50029</v>
      </c>
      <c r="CZ113" s="7">
        <v>29626</v>
      </c>
      <c r="DA113" s="7">
        <v>1050</v>
      </c>
      <c r="DB113" s="7">
        <v>1969</v>
      </c>
      <c r="DC113" s="7">
        <v>132</v>
      </c>
      <c r="DD113" s="7">
        <v>8383</v>
      </c>
      <c r="DE113" s="7">
        <v>6248</v>
      </c>
      <c r="DF113" s="7">
        <v>20699</v>
      </c>
      <c r="DG113" s="7">
        <v>7816</v>
      </c>
      <c r="DH113" s="7">
        <v>6126</v>
      </c>
      <c r="DI113" s="7">
        <v>35322</v>
      </c>
      <c r="DJ113" s="7">
        <v>0</v>
      </c>
      <c r="DK113" s="7">
        <v>0</v>
      </c>
      <c r="DL113" s="7">
        <v>532</v>
      </c>
      <c r="DM113" s="7">
        <v>19</v>
      </c>
      <c r="DN113" s="7">
        <v>24</v>
      </c>
      <c r="DO113" s="7">
        <v>2</v>
      </c>
      <c r="DP113" s="7">
        <v>1</v>
      </c>
      <c r="DQ113" s="7">
        <v>1</v>
      </c>
      <c r="DR113" s="7">
        <v>0</v>
      </c>
      <c r="DS113" s="7">
        <v>0</v>
      </c>
      <c r="DT113" s="7">
        <v>1105</v>
      </c>
      <c r="DU113" s="7">
        <v>1288</v>
      </c>
      <c r="DV113" s="7">
        <v>805</v>
      </c>
      <c r="DW113" s="7">
        <v>742</v>
      </c>
      <c r="DX113" s="7">
        <v>210</v>
      </c>
      <c r="DY113" s="7">
        <v>165</v>
      </c>
      <c r="DZ113" s="7">
        <v>211</v>
      </c>
      <c r="EA113" s="7">
        <v>153</v>
      </c>
      <c r="EB113" s="7">
        <v>71</v>
      </c>
      <c r="EC113" s="7">
        <v>90</v>
      </c>
      <c r="ED113" s="7">
        <v>67</v>
      </c>
      <c r="EE113" s="7">
        <v>63</v>
      </c>
      <c r="EF113" s="7">
        <v>192</v>
      </c>
      <c r="EG113" s="7">
        <v>155</v>
      </c>
      <c r="EH113" s="7">
        <v>1710</v>
      </c>
      <c r="EI113" s="7">
        <v>1099</v>
      </c>
      <c r="EJ113" s="7">
        <v>245</v>
      </c>
      <c r="EK113" s="7">
        <v>217</v>
      </c>
      <c r="EL113" s="7">
        <v>113</v>
      </c>
      <c r="EM113" s="7">
        <v>83</v>
      </c>
      <c r="EN113" s="7">
        <v>203</v>
      </c>
      <c r="EO113" s="7">
        <v>23149</v>
      </c>
      <c r="EP113" s="7">
        <v>22420</v>
      </c>
      <c r="EQ113" s="7">
        <v>729</v>
      </c>
      <c r="ER113" s="7">
        <v>8087</v>
      </c>
      <c r="ES113" s="7">
        <v>8147</v>
      </c>
      <c r="ET113" s="7">
        <v>7958</v>
      </c>
      <c r="EU113" s="7">
        <v>189</v>
      </c>
      <c r="EV113" s="7">
        <v>24414</v>
      </c>
      <c r="EW113" s="134">
        <v>30.91365905</v>
      </c>
      <c r="EX113" s="134">
        <v>14.664041014</v>
      </c>
      <c r="EY113" s="134">
        <v>19.077852849999999</v>
      </c>
      <c r="EZ113" s="134">
        <v>34.651818151000001</v>
      </c>
      <c r="FA113" s="134">
        <v>0.69262893420000005</v>
      </c>
      <c r="FB113" s="7">
        <v>3062</v>
      </c>
      <c r="FC113" s="7">
        <v>10946</v>
      </c>
      <c r="FD113" s="7">
        <v>1316</v>
      </c>
      <c r="FE113" s="7">
        <v>6023</v>
      </c>
      <c r="FF113" s="7">
        <v>37</v>
      </c>
      <c r="FG113" s="7">
        <v>5669</v>
      </c>
      <c r="FH113" s="7">
        <v>4117</v>
      </c>
      <c r="FI113" s="134">
        <v>33.646827148</v>
      </c>
      <c r="FJ113" s="134">
        <v>35.473466199999997</v>
      </c>
      <c r="FK113" s="134">
        <v>27.083828472</v>
      </c>
      <c r="FL113" s="134">
        <v>3.7958781787999998</v>
      </c>
      <c r="FM113" s="151">
        <v>27814</v>
      </c>
      <c r="FN113" s="151">
        <v>13969</v>
      </c>
      <c r="FO113" s="7">
        <v>5948</v>
      </c>
      <c r="FP113" s="7">
        <v>2052</v>
      </c>
      <c r="FQ113" s="7">
        <v>617</v>
      </c>
      <c r="FR113" s="7">
        <v>306</v>
      </c>
      <c r="FS113" s="7">
        <v>18611</v>
      </c>
      <c r="FT113" s="7">
        <v>120</v>
      </c>
      <c r="FU113" s="7">
        <v>519</v>
      </c>
      <c r="FV113" s="7">
        <v>144</v>
      </c>
      <c r="FW113" s="7">
        <v>30261</v>
      </c>
      <c r="FX113" s="7">
        <v>12242</v>
      </c>
      <c r="FY113" s="7">
        <v>6458</v>
      </c>
      <c r="FZ113" s="7">
        <v>2462</v>
      </c>
      <c r="GA113" s="7">
        <v>767</v>
      </c>
      <c r="GB113" s="7">
        <v>281</v>
      </c>
      <c r="GC113" s="7">
        <v>20091</v>
      </c>
      <c r="GD113" s="7">
        <v>107</v>
      </c>
      <c r="GE113" s="7">
        <v>532</v>
      </c>
      <c r="GF113" s="7">
        <v>164</v>
      </c>
      <c r="GG113" s="7">
        <v>2931</v>
      </c>
      <c r="GH113" s="7">
        <v>3141</v>
      </c>
      <c r="GI113" s="7">
        <v>3310</v>
      </c>
      <c r="GJ113" s="7">
        <v>2965</v>
      </c>
      <c r="GK113" s="7">
        <v>1748</v>
      </c>
      <c r="GL113" s="7">
        <v>1633</v>
      </c>
      <c r="GM113" s="7">
        <v>1789</v>
      </c>
      <c r="GN113" s="7">
        <v>1856</v>
      </c>
      <c r="GO113" s="7">
        <v>1629</v>
      </c>
      <c r="GP113" s="7">
        <v>1490</v>
      </c>
      <c r="GQ113" s="7">
        <v>1292</v>
      </c>
      <c r="GR113" s="7">
        <v>1088</v>
      </c>
      <c r="GS113" s="7">
        <v>893</v>
      </c>
      <c r="GT113" s="7">
        <v>658</v>
      </c>
      <c r="GU113" s="7">
        <v>557</v>
      </c>
      <c r="GV113" s="7">
        <v>427</v>
      </c>
      <c r="GW113" s="7">
        <v>235</v>
      </c>
      <c r="GX113" s="7">
        <v>160</v>
      </c>
      <c r="GY113" s="7">
        <v>2729</v>
      </c>
      <c r="GZ113" s="7">
        <v>2982</v>
      </c>
      <c r="HA113" s="7">
        <v>3083</v>
      </c>
      <c r="HB113" s="7">
        <v>3029</v>
      </c>
      <c r="HC113" s="7">
        <v>2252</v>
      </c>
      <c r="HD113" s="7">
        <v>2121</v>
      </c>
      <c r="HE113" s="7">
        <v>2368</v>
      </c>
      <c r="HF113" s="7">
        <v>2262</v>
      </c>
      <c r="HG113" s="7">
        <v>1896</v>
      </c>
      <c r="HH113" s="7">
        <v>1724</v>
      </c>
      <c r="HI113" s="7">
        <v>1455</v>
      </c>
      <c r="HJ113" s="7">
        <v>1115</v>
      </c>
      <c r="HK113" s="7">
        <v>981</v>
      </c>
      <c r="HL113" s="7">
        <v>736</v>
      </c>
      <c r="HM113" s="7">
        <v>648</v>
      </c>
      <c r="HN113" s="7">
        <v>396</v>
      </c>
      <c r="HO113" s="7">
        <v>278</v>
      </c>
      <c r="HP113" s="7">
        <v>190</v>
      </c>
      <c r="HQ113" s="7">
        <v>21331</v>
      </c>
      <c r="HR113" s="7">
        <v>37</v>
      </c>
      <c r="HS113" s="7">
        <v>273</v>
      </c>
      <c r="HT113" s="7">
        <v>2</v>
      </c>
      <c r="HU113" s="7">
        <v>3</v>
      </c>
      <c r="HV113" s="7">
        <v>0</v>
      </c>
      <c r="HW113" s="7">
        <v>3</v>
      </c>
      <c r="HX113" s="7">
        <v>181</v>
      </c>
      <c r="HY113" s="7">
        <v>1965</v>
      </c>
      <c r="HZ113" s="7">
        <v>3604</v>
      </c>
      <c r="IA113" s="7">
        <v>4144</v>
      </c>
      <c r="IB113" s="7">
        <v>4789</v>
      </c>
      <c r="IC113" s="7">
        <v>3728</v>
      </c>
      <c r="ID113" s="7">
        <v>1906</v>
      </c>
      <c r="IE113" s="7">
        <v>845</v>
      </c>
      <c r="IF113" s="7">
        <v>364</v>
      </c>
      <c r="IG113" s="7">
        <v>437</v>
      </c>
      <c r="IH113" s="7">
        <v>3572</v>
      </c>
      <c r="II113" s="7">
        <v>6078</v>
      </c>
      <c r="IJ113" s="7">
        <v>6217</v>
      </c>
      <c r="IK113" s="7">
        <v>3632</v>
      </c>
      <c r="IL113" s="7">
        <v>1405</v>
      </c>
      <c r="IM113" s="7">
        <v>500</v>
      </c>
      <c r="IN113" s="7">
        <v>144</v>
      </c>
      <c r="IO113" s="7">
        <v>57</v>
      </c>
      <c r="IP113" s="7">
        <v>54</v>
      </c>
      <c r="IQ113" s="7">
        <v>10774</v>
      </c>
      <c r="IR113" s="7">
        <v>8155</v>
      </c>
      <c r="IS113" s="7">
        <v>2283</v>
      </c>
      <c r="IT113" s="7">
        <v>401</v>
      </c>
      <c r="IU113" s="7">
        <v>69</v>
      </c>
      <c r="IV113" s="7">
        <v>7324</v>
      </c>
      <c r="IW113" s="7">
        <v>2500</v>
      </c>
      <c r="IX113" s="7">
        <v>1638</v>
      </c>
      <c r="IY113" s="7">
        <v>655</v>
      </c>
      <c r="IZ113" s="7">
        <v>15</v>
      </c>
      <c r="JA113" s="7">
        <v>9529</v>
      </c>
      <c r="JB113" s="7">
        <v>10021</v>
      </c>
      <c r="JC113" s="7">
        <v>10621</v>
      </c>
      <c r="JD113" s="7">
        <v>33</v>
      </c>
      <c r="JE113" s="7">
        <v>78</v>
      </c>
      <c r="JF113" s="151">
        <v>20916.570813194168</v>
      </c>
      <c r="JG113" s="151">
        <v>758.44950843298943</v>
      </c>
      <c r="JH113" s="7">
        <v>1274</v>
      </c>
      <c r="JI113" s="7">
        <v>17924</v>
      </c>
      <c r="JJ113" s="7">
        <v>2433</v>
      </c>
      <c r="JK113" s="7">
        <v>151</v>
      </c>
      <c r="JL113" s="7">
        <v>17235</v>
      </c>
      <c r="JM113" s="7">
        <v>12291</v>
      </c>
      <c r="JN113" s="7">
        <v>4167</v>
      </c>
      <c r="JO113" s="7">
        <v>15086</v>
      </c>
      <c r="JP113" s="7">
        <v>19313</v>
      </c>
      <c r="JQ113" s="7">
        <v>2455</v>
      </c>
      <c r="JR113" s="7">
        <v>4271</v>
      </c>
      <c r="JS113" s="7">
        <v>11895</v>
      </c>
      <c r="JT113" s="7">
        <v>1126</v>
      </c>
      <c r="JU113" s="151">
        <v>6782.7722353064328</v>
      </c>
      <c r="JV113" s="151">
        <v>14027.299518111187</v>
      </c>
      <c r="JW113" s="151">
        <v>38.868269991441203</v>
      </c>
      <c r="JX113" s="151">
        <v>67.630789785107694</v>
      </c>
      <c r="JY113" s="7">
        <v>21220</v>
      </c>
      <c r="JZ113" s="7">
        <v>82542</v>
      </c>
      <c r="KA113" s="7">
        <v>127</v>
      </c>
      <c r="KB113" s="7">
        <v>876</v>
      </c>
      <c r="KC113" s="7">
        <v>9</v>
      </c>
      <c r="KD113" s="7">
        <v>3</v>
      </c>
      <c r="KE113" s="7">
        <v>0</v>
      </c>
      <c r="KF113" s="7">
        <v>5</v>
      </c>
      <c r="KG113" s="7">
        <v>648</v>
      </c>
      <c r="KH113" s="7">
        <v>4973</v>
      </c>
      <c r="KI113" s="7">
        <v>69657</v>
      </c>
      <c r="KJ113" s="7">
        <v>8888</v>
      </c>
      <c r="KK113" s="7">
        <v>558</v>
      </c>
      <c r="KL113" s="7">
        <v>26176</v>
      </c>
      <c r="KM113" s="7">
        <v>54134</v>
      </c>
      <c r="KN113" s="7">
        <v>150</v>
      </c>
      <c r="KO113" s="7">
        <v>261</v>
      </c>
      <c r="KP113" s="7">
        <v>80721</v>
      </c>
      <c r="KQ113" s="7">
        <v>2927</v>
      </c>
      <c r="KR113" s="7">
        <v>13295</v>
      </c>
      <c r="KS113" s="7">
        <v>13295</v>
      </c>
      <c r="KT113" s="7">
        <v>2480</v>
      </c>
      <c r="KU113" s="7">
        <v>865</v>
      </c>
      <c r="KV113" s="7">
        <v>2521</v>
      </c>
      <c r="KW113" s="7">
        <v>2</v>
      </c>
      <c r="KX113" s="7">
        <v>2339</v>
      </c>
      <c r="KY113" s="7">
        <v>817</v>
      </c>
      <c r="KZ113" s="7">
        <v>2367</v>
      </c>
      <c r="LA113" s="7">
        <v>2</v>
      </c>
      <c r="LB113" s="7">
        <v>6857</v>
      </c>
      <c r="LC113" s="7">
        <v>6598</v>
      </c>
      <c r="LD113" s="7">
        <v>3094</v>
      </c>
      <c r="LE113" s="7">
        <v>4212</v>
      </c>
      <c r="LF113" s="7">
        <v>58816</v>
      </c>
      <c r="LG113" s="7">
        <v>78</v>
      </c>
      <c r="LH113" s="7">
        <v>9779</v>
      </c>
      <c r="LI113" s="7">
        <v>1597</v>
      </c>
      <c r="LJ113" s="7">
        <v>5386</v>
      </c>
      <c r="LK113" s="7">
        <v>20</v>
      </c>
      <c r="LL113" s="7">
        <v>5600</v>
      </c>
      <c r="LM113" s="7">
        <v>3064</v>
      </c>
      <c r="LN113" s="7">
        <v>83</v>
      </c>
      <c r="LO113" s="7">
        <v>10949</v>
      </c>
      <c r="LP113" s="7">
        <v>1541</v>
      </c>
      <c r="LQ113" s="7">
        <v>5466</v>
      </c>
      <c r="LR113" s="7">
        <v>55</v>
      </c>
      <c r="LS113" s="7">
        <v>5326</v>
      </c>
      <c r="LT113" s="7">
        <v>2670</v>
      </c>
      <c r="LU113" s="232">
        <v>7.1939686494000004</v>
      </c>
      <c r="LV113" s="232">
        <v>7.4296044235999998</v>
      </c>
      <c r="LW113" s="232">
        <v>6.9692760088999997</v>
      </c>
      <c r="LX113" s="7">
        <v>21782</v>
      </c>
      <c r="LY113" s="7">
        <v>84076</v>
      </c>
    </row>
    <row r="114" spans="1:337" x14ac:dyDescent="0.25">
      <c r="A114" t="s">
        <v>230</v>
      </c>
      <c r="B114" t="s">
        <v>231</v>
      </c>
      <c r="C114" s="7">
        <v>5513</v>
      </c>
      <c r="D114">
        <v>6375</v>
      </c>
      <c r="F114">
        <f t="shared" si="6"/>
        <v>-6375</v>
      </c>
      <c r="G114">
        <f t="shared" si="7"/>
        <v>-100</v>
      </c>
      <c r="H114">
        <v>3189</v>
      </c>
      <c r="I114">
        <v>3186</v>
      </c>
      <c r="J114">
        <v>4596</v>
      </c>
      <c r="K114">
        <v>1779</v>
      </c>
      <c r="L114" s="7">
        <v>375</v>
      </c>
      <c r="M114" s="7">
        <v>376</v>
      </c>
      <c r="N114" s="7">
        <v>357</v>
      </c>
      <c r="O114" s="7">
        <v>347</v>
      </c>
      <c r="P114" s="7">
        <v>323</v>
      </c>
      <c r="Q114" s="7">
        <v>254</v>
      </c>
      <c r="R114" s="7">
        <v>242</v>
      </c>
      <c r="S114" s="7">
        <v>222</v>
      </c>
      <c r="T114" s="7">
        <v>147</v>
      </c>
      <c r="U114" s="7">
        <v>132</v>
      </c>
      <c r="V114" s="7">
        <v>101</v>
      </c>
      <c r="W114" s="7">
        <v>93</v>
      </c>
      <c r="X114" s="7">
        <v>74</v>
      </c>
      <c r="Y114" s="7">
        <v>144</v>
      </c>
      <c r="Z114" s="7">
        <v>2</v>
      </c>
      <c r="AA114" s="7">
        <v>357</v>
      </c>
      <c r="AB114" s="7">
        <v>351</v>
      </c>
      <c r="AC114" s="7">
        <v>353</v>
      </c>
      <c r="AD114" s="7">
        <v>368</v>
      </c>
      <c r="AE114" s="7">
        <v>327</v>
      </c>
      <c r="AF114" s="7">
        <v>316</v>
      </c>
      <c r="AG114" s="7">
        <v>252</v>
      </c>
      <c r="AH114" s="7">
        <v>219</v>
      </c>
      <c r="AI114" s="7">
        <v>151</v>
      </c>
      <c r="AJ114" s="7">
        <v>116</v>
      </c>
      <c r="AK114" s="7">
        <v>103</v>
      </c>
      <c r="AL114" s="7">
        <v>73</v>
      </c>
      <c r="AM114" s="7">
        <v>71</v>
      </c>
      <c r="AN114" s="7">
        <v>126</v>
      </c>
      <c r="AO114" s="7">
        <v>3</v>
      </c>
      <c r="AP114">
        <v>6359</v>
      </c>
      <c r="AQ114">
        <v>7</v>
      </c>
      <c r="AR114">
        <v>2</v>
      </c>
      <c r="AS114" t="s">
        <v>358</v>
      </c>
      <c r="AT114">
        <v>7</v>
      </c>
      <c r="AU114" s="7">
        <v>321</v>
      </c>
      <c r="AV114" s="7">
        <v>169</v>
      </c>
      <c r="AW114" s="7">
        <v>152</v>
      </c>
      <c r="AX114" s="7">
        <v>379</v>
      </c>
      <c r="AY114" s="7">
        <v>321</v>
      </c>
      <c r="AZ114" s="7">
        <v>280</v>
      </c>
      <c r="BA114" s="7">
        <v>41</v>
      </c>
      <c r="BB114" s="7">
        <v>10</v>
      </c>
      <c r="BC114" s="7">
        <v>10</v>
      </c>
      <c r="BD114" s="7">
        <v>29</v>
      </c>
      <c r="BE114" s="7">
        <v>28</v>
      </c>
      <c r="BF114" s="7">
        <v>25</v>
      </c>
      <c r="BG114" s="7">
        <v>14</v>
      </c>
      <c r="BH114" s="7">
        <v>19</v>
      </c>
      <c r="BI114" s="7">
        <v>16</v>
      </c>
      <c r="BJ114" s="7">
        <v>7</v>
      </c>
      <c r="BK114" s="7">
        <v>14</v>
      </c>
      <c r="BL114" s="7">
        <v>12</v>
      </c>
      <c r="BM114" s="7">
        <v>12</v>
      </c>
      <c r="BN114" s="7">
        <v>8</v>
      </c>
      <c r="BO114" s="7">
        <v>7</v>
      </c>
      <c r="BP114" s="7">
        <v>13</v>
      </c>
      <c r="BQ114" s="7">
        <v>8</v>
      </c>
      <c r="BR114" s="7">
        <v>1</v>
      </c>
      <c r="BS114" s="7">
        <v>5</v>
      </c>
      <c r="BT114" s="7">
        <v>7</v>
      </c>
      <c r="BU114" s="7">
        <v>4</v>
      </c>
      <c r="BV114" s="7">
        <v>6</v>
      </c>
      <c r="BW114" s="7">
        <v>8</v>
      </c>
      <c r="BX114" s="7">
        <v>6</v>
      </c>
      <c r="BY114" s="7">
        <v>3</v>
      </c>
      <c r="BZ114" s="7">
        <v>4</v>
      </c>
      <c r="CA114" s="7">
        <v>4</v>
      </c>
      <c r="CB114" s="7">
        <v>22</v>
      </c>
      <c r="CC114" s="7">
        <v>19</v>
      </c>
      <c r="CD114" s="7">
        <v>100</v>
      </c>
      <c r="CE114" s="7">
        <v>46</v>
      </c>
      <c r="CF114" s="7">
        <v>66</v>
      </c>
      <c r="CG114" s="7">
        <v>101</v>
      </c>
      <c r="CH114" s="7">
        <v>1241</v>
      </c>
      <c r="CI114" s="7">
        <v>117</v>
      </c>
      <c r="CJ114" s="7">
        <v>5932</v>
      </c>
      <c r="CK114" s="7">
        <v>443</v>
      </c>
      <c r="CL114" s="7">
        <v>52</v>
      </c>
      <c r="CM114" s="7">
        <v>142</v>
      </c>
      <c r="CN114" s="7">
        <v>176</v>
      </c>
      <c r="CO114" s="7">
        <v>315</v>
      </c>
      <c r="CP114" s="7">
        <v>283</v>
      </c>
      <c r="CQ114" s="7">
        <v>390</v>
      </c>
      <c r="CR114" s="7">
        <v>1177</v>
      </c>
      <c r="CS114" s="7">
        <v>3098</v>
      </c>
      <c r="CT114" s="7">
        <v>372</v>
      </c>
      <c r="CU114" s="7">
        <v>215</v>
      </c>
      <c r="CV114" s="7">
        <v>47</v>
      </c>
      <c r="CW114" s="7">
        <v>89</v>
      </c>
      <c r="CX114" s="7">
        <v>2</v>
      </c>
      <c r="CY114" s="7">
        <v>4212</v>
      </c>
      <c r="CZ114" s="7">
        <v>2015</v>
      </c>
      <c r="DA114" s="7">
        <v>8</v>
      </c>
      <c r="DB114" s="7">
        <v>52</v>
      </c>
      <c r="DC114" s="7">
        <v>0</v>
      </c>
      <c r="DD114" s="7">
        <v>703</v>
      </c>
      <c r="DE114" s="7">
        <v>281</v>
      </c>
      <c r="DF114" s="7">
        <v>795</v>
      </c>
      <c r="DG114" s="7">
        <v>4596</v>
      </c>
      <c r="DH114" s="7">
        <v>0</v>
      </c>
      <c r="DI114" s="7">
        <v>0</v>
      </c>
      <c r="DJ114" s="7">
        <v>0</v>
      </c>
      <c r="DK114" s="7">
        <v>0</v>
      </c>
      <c r="DL114" s="7">
        <v>14</v>
      </c>
      <c r="DM114" s="7">
        <v>1</v>
      </c>
      <c r="DN114" s="7">
        <v>1</v>
      </c>
      <c r="DO114" s="7">
        <v>1</v>
      </c>
      <c r="DP114" s="7">
        <v>0</v>
      </c>
      <c r="DQ114" s="7">
        <v>0</v>
      </c>
      <c r="DR114" s="7">
        <v>0</v>
      </c>
      <c r="DS114" s="7">
        <v>0</v>
      </c>
      <c r="DT114" s="7">
        <v>70</v>
      </c>
      <c r="DU114" s="7">
        <v>50</v>
      </c>
      <c r="DV114" s="7">
        <v>20</v>
      </c>
      <c r="DW114" s="7">
        <v>20</v>
      </c>
      <c r="DX114" s="7">
        <v>9</v>
      </c>
      <c r="DY114" s="7">
        <v>9</v>
      </c>
      <c r="DZ114" s="7">
        <v>13</v>
      </c>
      <c r="EA114" s="7">
        <v>13</v>
      </c>
      <c r="EB114" s="7">
        <v>4</v>
      </c>
      <c r="EC114" s="7">
        <v>3</v>
      </c>
      <c r="ED114" s="7">
        <v>3</v>
      </c>
      <c r="EE114" s="7">
        <v>1</v>
      </c>
      <c r="EF114" s="7">
        <v>14</v>
      </c>
      <c r="EG114" s="7">
        <v>10</v>
      </c>
      <c r="EH114" s="7">
        <v>98</v>
      </c>
      <c r="EI114" s="7">
        <v>32</v>
      </c>
      <c r="EJ114" s="7">
        <v>15</v>
      </c>
      <c r="EK114" s="7">
        <v>15</v>
      </c>
      <c r="EL114" s="7">
        <v>7</v>
      </c>
      <c r="EM114" s="7">
        <v>3</v>
      </c>
      <c r="EN114" s="7">
        <v>17</v>
      </c>
      <c r="EO114" s="7">
        <v>1849</v>
      </c>
      <c r="EP114" s="7">
        <v>1842</v>
      </c>
      <c r="EQ114" s="7">
        <v>7</v>
      </c>
      <c r="ER114" s="7">
        <v>421</v>
      </c>
      <c r="ES114" s="7">
        <v>118</v>
      </c>
      <c r="ET114" s="7">
        <v>118</v>
      </c>
      <c r="EU114" s="7">
        <v>0</v>
      </c>
      <c r="EV114" s="7">
        <v>2211</v>
      </c>
      <c r="EW114" s="134">
        <v>89.003436425999993</v>
      </c>
      <c r="EX114" s="134">
        <v>2.9553264604999998</v>
      </c>
      <c r="EY114" s="134">
        <v>4.1924398624999997</v>
      </c>
      <c r="EZ114" s="134">
        <v>3.4364261167999999</v>
      </c>
      <c r="FA114" s="134">
        <v>0.41237113399999997</v>
      </c>
      <c r="FB114" s="7">
        <v>549</v>
      </c>
      <c r="FC114" s="7">
        <v>772</v>
      </c>
      <c r="FD114" s="7">
        <v>52</v>
      </c>
      <c r="FE114" s="7">
        <v>442</v>
      </c>
      <c r="FF114" s="7">
        <v>0</v>
      </c>
      <c r="FG114" s="7">
        <v>117</v>
      </c>
      <c r="FH114" s="7">
        <v>31</v>
      </c>
      <c r="FI114" s="134">
        <v>82.06185567</v>
      </c>
      <c r="FJ114" s="134">
        <v>6.2542955325999996</v>
      </c>
      <c r="FK114" s="134">
        <v>4.3986254296</v>
      </c>
      <c r="FL114" s="134">
        <v>7.2852233676999996</v>
      </c>
      <c r="FM114" s="151">
        <v>2378</v>
      </c>
      <c r="FN114" s="151">
        <v>806</v>
      </c>
      <c r="FO114" s="7">
        <v>403</v>
      </c>
      <c r="FP114" s="7">
        <v>6</v>
      </c>
      <c r="FQ114" s="7">
        <v>1</v>
      </c>
      <c r="FR114" s="7">
        <v>1</v>
      </c>
      <c r="FS114" s="7">
        <v>2120</v>
      </c>
      <c r="FT114" s="7">
        <v>8</v>
      </c>
      <c r="FU114" s="7">
        <v>1</v>
      </c>
      <c r="FV114" s="7">
        <v>5</v>
      </c>
      <c r="FW114" s="7">
        <v>2518</v>
      </c>
      <c r="FX114" s="7">
        <v>661</v>
      </c>
      <c r="FY114" s="7">
        <v>430</v>
      </c>
      <c r="FZ114" s="7">
        <v>11</v>
      </c>
      <c r="GA114" s="7">
        <v>3</v>
      </c>
      <c r="GB114" s="7">
        <v>3</v>
      </c>
      <c r="GC114" s="7">
        <v>2250</v>
      </c>
      <c r="GD114" s="7">
        <v>5</v>
      </c>
      <c r="GE114" s="7">
        <v>1</v>
      </c>
      <c r="GF114" s="7">
        <v>7</v>
      </c>
      <c r="GG114" s="7">
        <v>284</v>
      </c>
      <c r="GH114" s="7">
        <v>303</v>
      </c>
      <c r="GI114" s="7">
        <v>291</v>
      </c>
      <c r="GJ114" s="7">
        <v>237</v>
      </c>
      <c r="GK114" s="7">
        <v>206</v>
      </c>
      <c r="GL114" s="7">
        <v>178</v>
      </c>
      <c r="GM114" s="7">
        <v>191</v>
      </c>
      <c r="GN114" s="7">
        <v>172</v>
      </c>
      <c r="GO114" s="7">
        <v>114</v>
      </c>
      <c r="GP114" s="7">
        <v>94</v>
      </c>
      <c r="GQ114" s="7">
        <v>71</v>
      </c>
      <c r="GR114" s="7">
        <v>71</v>
      </c>
      <c r="GS114" s="7">
        <v>53</v>
      </c>
      <c r="GT114" s="7">
        <v>46</v>
      </c>
      <c r="GU114" s="7">
        <v>39</v>
      </c>
      <c r="GV114" s="7">
        <v>13</v>
      </c>
      <c r="GW114" s="7">
        <v>8</v>
      </c>
      <c r="GX114" s="7">
        <v>5</v>
      </c>
      <c r="GY114" s="7">
        <v>288</v>
      </c>
      <c r="GZ114" s="7">
        <v>283</v>
      </c>
      <c r="HA114" s="7">
        <v>278</v>
      </c>
      <c r="HB114" s="7">
        <v>259</v>
      </c>
      <c r="HC114" s="7">
        <v>243</v>
      </c>
      <c r="HD114" s="7">
        <v>254</v>
      </c>
      <c r="HE114" s="7">
        <v>212</v>
      </c>
      <c r="HF114" s="7">
        <v>183</v>
      </c>
      <c r="HG114" s="7">
        <v>126</v>
      </c>
      <c r="HH114" s="7">
        <v>92</v>
      </c>
      <c r="HI114" s="7">
        <v>86</v>
      </c>
      <c r="HJ114" s="7">
        <v>57</v>
      </c>
      <c r="HK114" s="7">
        <v>53</v>
      </c>
      <c r="HL114" s="7">
        <v>32</v>
      </c>
      <c r="HM114" s="7">
        <v>31</v>
      </c>
      <c r="HN114" s="7">
        <v>21</v>
      </c>
      <c r="HO114" s="7">
        <v>8</v>
      </c>
      <c r="HP114" s="7">
        <v>9</v>
      </c>
      <c r="HQ114" s="7">
        <v>1354</v>
      </c>
      <c r="HR114" s="7">
        <v>0</v>
      </c>
      <c r="HS114" s="7">
        <v>1</v>
      </c>
      <c r="HT114" s="7">
        <v>0</v>
      </c>
      <c r="HU114" s="7">
        <v>0</v>
      </c>
      <c r="HV114" s="7">
        <v>0</v>
      </c>
      <c r="HW114" s="7">
        <v>0</v>
      </c>
      <c r="HX114" s="7">
        <v>3</v>
      </c>
      <c r="HY114" s="7">
        <v>52</v>
      </c>
      <c r="HZ114" s="7">
        <v>142</v>
      </c>
      <c r="IA114" s="7">
        <v>176</v>
      </c>
      <c r="IB114" s="7">
        <v>315</v>
      </c>
      <c r="IC114" s="7">
        <v>283</v>
      </c>
      <c r="ID114" s="7">
        <v>186</v>
      </c>
      <c r="IE114" s="7">
        <v>77</v>
      </c>
      <c r="IF114" s="7">
        <v>57</v>
      </c>
      <c r="IG114" s="7">
        <v>70</v>
      </c>
      <c r="IH114" s="7">
        <v>381</v>
      </c>
      <c r="II114" s="7">
        <v>556</v>
      </c>
      <c r="IJ114" s="7">
        <v>264</v>
      </c>
      <c r="IK114" s="7">
        <v>84</v>
      </c>
      <c r="IL114" s="7">
        <v>26</v>
      </c>
      <c r="IM114" s="7">
        <v>6</v>
      </c>
      <c r="IN114" s="7">
        <v>0</v>
      </c>
      <c r="IO114" s="7">
        <v>0</v>
      </c>
      <c r="IP114" s="7">
        <v>1</v>
      </c>
      <c r="IQ114" s="7">
        <v>985</v>
      </c>
      <c r="IR114" s="7">
        <v>266</v>
      </c>
      <c r="IS114" s="7">
        <v>51</v>
      </c>
      <c r="IT114" s="7">
        <v>13</v>
      </c>
      <c r="IU114" s="7">
        <v>2</v>
      </c>
      <c r="IV114" s="7">
        <v>540</v>
      </c>
      <c r="IW114" s="7">
        <v>760</v>
      </c>
      <c r="IX114" s="7">
        <v>0</v>
      </c>
      <c r="IY114" s="7">
        <v>34</v>
      </c>
      <c r="IZ114" s="7">
        <v>0</v>
      </c>
      <c r="JA114" s="7">
        <v>21</v>
      </c>
      <c r="JB114" s="7">
        <v>824</v>
      </c>
      <c r="JC114" s="7">
        <v>89</v>
      </c>
      <c r="JD114" s="7">
        <v>317</v>
      </c>
      <c r="JE114" s="7">
        <v>0</v>
      </c>
      <c r="JF114" s="151">
        <v>1258.9457575445149</v>
      </c>
      <c r="JG114" s="151">
        <v>97.775990306756739</v>
      </c>
      <c r="JH114" s="7">
        <v>90</v>
      </c>
      <c r="JI114" s="7">
        <v>1249</v>
      </c>
      <c r="JJ114" s="7">
        <v>16</v>
      </c>
      <c r="JK114" s="7">
        <v>3</v>
      </c>
      <c r="JL114" s="7">
        <v>592</v>
      </c>
      <c r="JM114" s="7">
        <v>209</v>
      </c>
      <c r="JN114" s="7">
        <v>115</v>
      </c>
      <c r="JO114" s="7">
        <v>862</v>
      </c>
      <c r="JP114" s="7">
        <v>1094</v>
      </c>
      <c r="JQ114" s="7">
        <v>27</v>
      </c>
      <c r="JR114" s="7">
        <v>83</v>
      </c>
      <c r="JS114" s="7">
        <v>162</v>
      </c>
      <c r="JT114" s="7">
        <v>2</v>
      </c>
      <c r="JU114" s="151">
        <v>68.166267751987263</v>
      </c>
      <c r="JV114" s="151">
        <v>1136.6725147643876</v>
      </c>
      <c r="JW114" s="151">
        <v>50.698661640540529</v>
      </c>
      <c r="JX114" s="151">
        <v>3.4083133875993634</v>
      </c>
      <c r="JY114" s="7">
        <v>1278</v>
      </c>
      <c r="JZ114" s="7">
        <v>6361</v>
      </c>
      <c r="KA114" s="7">
        <v>0</v>
      </c>
      <c r="KB114" s="7">
        <v>5</v>
      </c>
      <c r="KC114" s="7">
        <v>0</v>
      </c>
      <c r="KD114" s="7">
        <v>0</v>
      </c>
      <c r="KE114" s="7">
        <v>0</v>
      </c>
      <c r="KF114" s="7">
        <v>0</v>
      </c>
      <c r="KG114" s="7">
        <v>9</v>
      </c>
      <c r="KH114" s="7">
        <v>402</v>
      </c>
      <c r="KI114" s="7">
        <v>5889</v>
      </c>
      <c r="KJ114" s="7">
        <v>73</v>
      </c>
      <c r="KK114" s="7">
        <v>11</v>
      </c>
      <c r="KL114" s="7">
        <v>320</v>
      </c>
      <c r="KM114" s="7">
        <v>5336</v>
      </c>
      <c r="KN114" s="7">
        <v>238</v>
      </c>
      <c r="KO114" s="7">
        <v>16</v>
      </c>
      <c r="KP114" s="7">
        <v>5910</v>
      </c>
      <c r="KQ114" s="7">
        <v>459</v>
      </c>
      <c r="KR114" s="7">
        <v>819</v>
      </c>
      <c r="KS114" s="7">
        <v>819</v>
      </c>
      <c r="KT114" s="7">
        <v>159</v>
      </c>
      <c r="KU114" s="7">
        <v>57</v>
      </c>
      <c r="KV114" s="7">
        <v>142</v>
      </c>
      <c r="KW114" s="7">
        <v>0</v>
      </c>
      <c r="KX114" s="7">
        <v>148</v>
      </c>
      <c r="KY114" s="7">
        <v>49</v>
      </c>
      <c r="KZ114" s="7">
        <v>140</v>
      </c>
      <c r="LA114" s="7">
        <v>0</v>
      </c>
      <c r="LB114" s="7">
        <v>482</v>
      </c>
      <c r="LC114" s="7">
        <v>496</v>
      </c>
      <c r="LD114" s="7">
        <v>612</v>
      </c>
      <c r="LE114" s="7">
        <v>644</v>
      </c>
      <c r="LF114" s="7">
        <v>4201</v>
      </c>
      <c r="LG114" s="7">
        <v>4</v>
      </c>
      <c r="LH114" s="7">
        <v>760</v>
      </c>
      <c r="LI114" s="7">
        <v>99</v>
      </c>
      <c r="LJ114" s="7">
        <v>444</v>
      </c>
      <c r="LK114" s="7">
        <v>0</v>
      </c>
      <c r="LL114" s="7">
        <v>164</v>
      </c>
      <c r="LM114" s="7">
        <v>32</v>
      </c>
      <c r="LN114" s="7">
        <v>7</v>
      </c>
      <c r="LO114" s="7">
        <v>827</v>
      </c>
      <c r="LP114" s="7">
        <v>113</v>
      </c>
      <c r="LQ114" s="7">
        <v>389</v>
      </c>
      <c r="LR114" s="7">
        <v>0</v>
      </c>
      <c r="LS114" s="7">
        <v>153</v>
      </c>
      <c r="LT114" s="7">
        <v>22</v>
      </c>
      <c r="LU114" s="232">
        <v>4.7599139990000001</v>
      </c>
      <c r="LV114" s="232">
        <v>4.8967181466999996</v>
      </c>
      <c r="LW114" s="232">
        <v>4.6258278146</v>
      </c>
      <c r="LX114" s="7">
        <v>1358</v>
      </c>
      <c r="LY114" s="7">
        <v>6375</v>
      </c>
    </row>
    <row r="115" spans="1:337" x14ac:dyDescent="0.25">
      <c r="A115" t="s">
        <v>234</v>
      </c>
      <c r="B115" t="s">
        <v>235</v>
      </c>
      <c r="C115" s="7">
        <v>26866</v>
      </c>
      <c r="D115">
        <v>31723</v>
      </c>
      <c r="F115">
        <f t="shared" si="6"/>
        <v>-31723</v>
      </c>
      <c r="G115">
        <f t="shared" si="7"/>
        <v>-100</v>
      </c>
      <c r="H115">
        <v>15591</v>
      </c>
      <c r="I115">
        <v>16132</v>
      </c>
      <c r="J115">
        <v>6337</v>
      </c>
      <c r="K115">
        <v>25386</v>
      </c>
      <c r="L115" s="7">
        <v>1943</v>
      </c>
      <c r="M115" s="7">
        <v>2138</v>
      </c>
      <c r="N115" s="7">
        <v>2064</v>
      </c>
      <c r="O115" s="7">
        <v>1814</v>
      </c>
      <c r="P115" s="7">
        <v>1337</v>
      </c>
      <c r="Q115" s="7">
        <v>995</v>
      </c>
      <c r="R115" s="7">
        <v>876</v>
      </c>
      <c r="S115" s="7">
        <v>819</v>
      </c>
      <c r="T115" s="7">
        <v>656</v>
      </c>
      <c r="U115" s="7">
        <v>648</v>
      </c>
      <c r="V115" s="7">
        <v>540</v>
      </c>
      <c r="W115" s="7">
        <v>409</v>
      </c>
      <c r="X115" s="7">
        <v>386</v>
      </c>
      <c r="Y115" s="7">
        <v>691</v>
      </c>
      <c r="Z115" s="7">
        <v>275</v>
      </c>
      <c r="AA115" s="7">
        <v>1931</v>
      </c>
      <c r="AB115" s="7">
        <v>2021</v>
      </c>
      <c r="AC115" s="7">
        <v>2004</v>
      </c>
      <c r="AD115" s="7">
        <v>1813</v>
      </c>
      <c r="AE115" s="7">
        <v>1405</v>
      </c>
      <c r="AF115" s="7">
        <v>1130</v>
      </c>
      <c r="AG115" s="7">
        <v>1103</v>
      </c>
      <c r="AH115" s="7">
        <v>877</v>
      </c>
      <c r="AI115" s="7">
        <v>719</v>
      </c>
      <c r="AJ115" s="7">
        <v>706</v>
      </c>
      <c r="AK115" s="7">
        <v>634</v>
      </c>
      <c r="AL115" s="7">
        <v>459</v>
      </c>
      <c r="AM115" s="7">
        <v>378</v>
      </c>
      <c r="AN115" s="7">
        <v>679</v>
      </c>
      <c r="AO115" s="7">
        <v>273</v>
      </c>
      <c r="AP115">
        <v>31138</v>
      </c>
      <c r="AQ115">
        <v>23</v>
      </c>
      <c r="AR115">
        <v>2</v>
      </c>
      <c r="AS115" t="s">
        <v>358</v>
      </c>
      <c r="AT115">
        <v>560</v>
      </c>
      <c r="AU115" s="7">
        <v>28152</v>
      </c>
      <c r="AV115" s="7">
        <v>13814</v>
      </c>
      <c r="AW115" s="7">
        <v>14338</v>
      </c>
      <c r="AX115" s="7">
        <v>19915</v>
      </c>
      <c r="AY115" s="7">
        <v>28152</v>
      </c>
      <c r="AZ115" s="7">
        <v>22722</v>
      </c>
      <c r="BA115" s="7">
        <v>5430</v>
      </c>
      <c r="BB115" s="7">
        <v>738</v>
      </c>
      <c r="BC115" s="7">
        <v>735</v>
      </c>
      <c r="BD115" s="7">
        <v>2049</v>
      </c>
      <c r="BE115" s="7">
        <v>1945</v>
      </c>
      <c r="BF115" s="7">
        <v>2011</v>
      </c>
      <c r="BG115" s="7">
        <v>1944</v>
      </c>
      <c r="BH115" s="7">
        <v>1780</v>
      </c>
      <c r="BI115" s="7">
        <v>1761</v>
      </c>
      <c r="BJ115" s="7">
        <v>1305</v>
      </c>
      <c r="BK115" s="7">
        <v>1371</v>
      </c>
      <c r="BL115" s="7">
        <v>976</v>
      </c>
      <c r="BM115" s="7">
        <v>1102</v>
      </c>
      <c r="BN115" s="7">
        <v>860</v>
      </c>
      <c r="BO115" s="7">
        <v>1085</v>
      </c>
      <c r="BP115" s="7">
        <v>807</v>
      </c>
      <c r="BQ115" s="7">
        <v>854</v>
      </c>
      <c r="BR115" s="7">
        <v>637</v>
      </c>
      <c r="BS115" s="7">
        <v>707</v>
      </c>
      <c r="BT115" s="7">
        <v>638</v>
      </c>
      <c r="BU115" s="7">
        <v>697</v>
      </c>
      <c r="BV115" s="7">
        <v>534</v>
      </c>
      <c r="BW115" s="7">
        <v>629</v>
      </c>
      <c r="BX115" s="7">
        <v>407</v>
      </c>
      <c r="BY115" s="7">
        <v>456</v>
      </c>
      <c r="BZ115" s="7">
        <v>385</v>
      </c>
      <c r="CA115" s="7">
        <v>376</v>
      </c>
      <c r="CB115" s="7">
        <v>687</v>
      </c>
      <c r="CC115" s="7">
        <v>676</v>
      </c>
      <c r="CD115" s="7">
        <v>9533</v>
      </c>
      <c r="CE115" s="7">
        <v>7225</v>
      </c>
      <c r="CF115" s="7">
        <v>4243</v>
      </c>
      <c r="CG115" s="7">
        <v>7082</v>
      </c>
      <c r="CH115" s="7">
        <v>5285</v>
      </c>
      <c r="CI115" s="7">
        <v>705</v>
      </c>
      <c r="CJ115" s="7">
        <v>28591</v>
      </c>
      <c r="CK115" s="7">
        <v>2598</v>
      </c>
      <c r="CL115" s="7">
        <v>201</v>
      </c>
      <c r="CM115" s="7">
        <v>577</v>
      </c>
      <c r="CN115" s="7">
        <v>816</v>
      </c>
      <c r="CO115" s="7">
        <v>989</v>
      </c>
      <c r="CP115" s="7">
        <v>954</v>
      </c>
      <c r="CQ115" s="7">
        <v>2453</v>
      </c>
      <c r="CR115" s="7">
        <v>4976</v>
      </c>
      <c r="CS115" s="7">
        <v>17062</v>
      </c>
      <c r="CT115" s="7">
        <v>1257</v>
      </c>
      <c r="CU115" s="7">
        <v>532</v>
      </c>
      <c r="CV115" s="7">
        <v>358</v>
      </c>
      <c r="CW115" s="7">
        <v>886</v>
      </c>
      <c r="CX115" s="7">
        <v>11</v>
      </c>
      <c r="CY115" s="7">
        <v>21020</v>
      </c>
      <c r="CZ115" s="7">
        <v>9281</v>
      </c>
      <c r="DA115" s="7">
        <v>59</v>
      </c>
      <c r="DB115" s="7">
        <v>201</v>
      </c>
      <c r="DC115" s="7">
        <v>0</v>
      </c>
      <c r="DD115" s="7">
        <v>5503</v>
      </c>
      <c r="DE115" s="7">
        <v>3493</v>
      </c>
      <c r="DF115" s="7">
        <v>16390</v>
      </c>
      <c r="DG115" s="7">
        <v>6337</v>
      </c>
      <c r="DH115" s="7">
        <v>0</v>
      </c>
      <c r="DI115" s="7">
        <v>0</v>
      </c>
      <c r="DJ115" s="7">
        <v>0</v>
      </c>
      <c r="DK115" s="7">
        <v>0</v>
      </c>
      <c r="DL115" s="7">
        <v>80</v>
      </c>
      <c r="DM115" s="7">
        <v>10</v>
      </c>
      <c r="DN115" s="7">
        <v>20</v>
      </c>
      <c r="DO115" s="7">
        <v>2</v>
      </c>
      <c r="DP115" s="7">
        <v>0</v>
      </c>
      <c r="DQ115" s="7">
        <v>0</v>
      </c>
      <c r="DR115" s="7">
        <v>0</v>
      </c>
      <c r="DS115" s="7">
        <v>0</v>
      </c>
      <c r="DT115" s="7">
        <v>127</v>
      </c>
      <c r="DU115" s="7">
        <v>146</v>
      </c>
      <c r="DV115" s="7">
        <v>62</v>
      </c>
      <c r="DW115" s="7">
        <v>48</v>
      </c>
      <c r="DX115" s="7">
        <v>23</v>
      </c>
      <c r="DY115" s="7">
        <v>15</v>
      </c>
      <c r="DZ115" s="7">
        <v>46</v>
      </c>
      <c r="EA115" s="7">
        <v>31</v>
      </c>
      <c r="EB115" s="7">
        <v>4</v>
      </c>
      <c r="EC115" s="7">
        <v>9</v>
      </c>
      <c r="ED115" s="7">
        <v>1</v>
      </c>
      <c r="EE115" s="7">
        <v>8</v>
      </c>
      <c r="EF115" s="7">
        <v>44</v>
      </c>
      <c r="EG115" s="7">
        <v>33</v>
      </c>
      <c r="EH115" s="7">
        <v>167</v>
      </c>
      <c r="EI115" s="7">
        <v>69</v>
      </c>
      <c r="EJ115" s="7">
        <v>24</v>
      </c>
      <c r="EK115" s="7">
        <v>39</v>
      </c>
      <c r="EL115" s="7">
        <v>5</v>
      </c>
      <c r="EM115" s="7">
        <v>6</v>
      </c>
      <c r="EN115" s="7">
        <v>34</v>
      </c>
      <c r="EO115" s="7">
        <v>7630</v>
      </c>
      <c r="EP115" s="7">
        <v>7523</v>
      </c>
      <c r="EQ115" s="7">
        <v>107</v>
      </c>
      <c r="ER115" s="7">
        <v>2665</v>
      </c>
      <c r="ES115" s="7">
        <v>556</v>
      </c>
      <c r="ET115" s="7">
        <v>548</v>
      </c>
      <c r="EU115" s="7">
        <v>8</v>
      </c>
      <c r="EV115" s="7">
        <v>10458</v>
      </c>
      <c r="EW115" s="134">
        <v>85.999256598000002</v>
      </c>
      <c r="EX115" s="134">
        <v>2.2425969521</v>
      </c>
      <c r="EY115" s="134">
        <v>2.6762482963999998</v>
      </c>
      <c r="EZ115" s="134">
        <v>8.3880560030000009</v>
      </c>
      <c r="FA115" s="134">
        <v>0.69384215090000001</v>
      </c>
      <c r="FB115" s="7">
        <v>1571</v>
      </c>
      <c r="FC115" s="7">
        <v>3608</v>
      </c>
      <c r="FD115" s="7">
        <v>279</v>
      </c>
      <c r="FE115" s="7">
        <v>1622</v>
      </c>
      <c r="FF115" s="7">
        <v>2</v>
      </c>
      <c r="FG115" s="7">
        <v>884</v>
      </c>
      <c r="FH115" s="7">
        <v>207</v>
      </c>
      <c r="FI115" s="134">
        <v>87.386940899999999</v>
      </c>
      <c r="FJ115" s="134">
        <v>4.6710444802</v>
      </c>
      <c r="FK115" s="134">
        <v>5.4887870151999998</v>
      </c>
      <c r="FL115" s="134">
        <v>2.4532276049999999</v>
      </c>
      <c r="FM115" s="151">
        <v>7958</v>
      </c>
      <c r="FN115" s="151">
        <v>7333</v>
      </c>
      <c r="FO115" s="7">
        <v>545</v>
      </c>
      <c r="FP115" s="7">
        <v>82</v>
      </c>
      <c r="FQ115" s="7">
        <v>12</v>
      </c>
      <c r="FR115" s="7">
        <v>1</v>
      </c>
      <c r="FS115" s="7">
        <v>6964</v>
      </c>
      <c r="FT115" s="7">
        <v>77</v>
      </c>
      <c r="FU115" s="7">
        <v>475</v>
      </c>
      <c r="FV115" s="7">
        <v>300</v>
      </c>
      <c r="FW115" s="7">
        <v>8584</v>
      </c>
      <c r="FX115" s="7">
        <v>7245</v>
      </c>
      <c r="FY115" s="7">
        <v>558</v>
      </c>
      <c r="FZ115" s="7">
        <v>83</v>
      </c>
      <c r="GA115" s="7">
        <v>8</v>
      </c>
      <c r="GB115" s="7">
        <v>1</v>
      </c>
      <c r="GC115" s="7">
        <v>7564</v>
      </c>
      <c r="GD115" s="7">
        <v>84</v>
      </c>
      <c r="GE115" s="7">
        <v>461</v>
      </c>
      <c r="GF115" s="7">
        <v>303</v>
      </c>
      <c r="GG115" s="7">
        <v>954</v>
      </c>
      <c r="GH115" s="7">
        <v>1142</v>
      </c>
      <c r="GI115" s="7">
        <v>1107</v>
      </c>
      <c r="GJ115" s="7">
        <v>887</v>
      </c>
      <c r="GK115" s="7">
        <v>544</v>
      </c>
      <c r="GL115" s="7">
        <v>480</v>
      </c>
      <c r="GM115" s="7">
        <v>490</v>
      </c>
      <c r="GN115" s="7">
        <v>456</v>
      </c>
      <c r="GO115" s="7">
        <v>340</v>
      </c>
      <c r="GP115" s="7">
        <v>365</v>
      </c>
      <c r="GQ115" s="7">
        <v>294</v>
      </c>
      <c r="GR115" s="7">
        <v>210</v>
      </c>
      <c r="GS115" s="7">
        <v>215</v>
      </c>
      <c r="GT115" s="7">
        <v>133</v>
      </c>
      <c r="GU115" s="7">
        <v>167</v>
      </c>
      <c r="GV115" s="7">
        <v>74</v>
      </c>
      <c r="GW115" s="7">
        <v>43</v>
      </c>
      <c r="GX115" s="7">
        <v>54</v>
      </c>
      <c r="GY115" s="7">
        <v>917</v>
      </c>
      <c r="GZ115" s="7">
        <v>1064</v>
      </c>
      <c r="HA115" s="7">
        <v>1035</v>
      </c>
      <c r="HB115" s="7">
        <v>903</v>
      </c>
      <c r="HC115" s="7">
        <v>700</v>
      </c>
      <c r="HD115" s="7">
        <v>628</v>
      </c>
      <c r="HE115" s="7">
        <v>654</v>
      </c>
      <c r="HF115" s="7">
        <v>518</v>
      </c>
      <c r="HG115" s="7">
        <v>414</v>
      </c>
      <c r="HH115" s="7">
        <v>395</v>
      </c>
      <c r="HI115" s="7">
        <v>378</v>
      </c>
      <c r="HJ115" s="7">
        <v>293</v>
      </c>
      <c r="HK115" s="7">
        <v>239</v>
      </c>
      <c r="HL115" s="7">
        <v>154</v>
      </c>
      <c r="HM115" s="7">
        <v>142</v>
      </c>
      <c r="HN115" s="7">
        <v>60</v>
      </c>
      <c r="HO115" s="7">
        <v>46</v>
      </c>
      <c r="HP115" s="7">
        <v>42</v>
      </c>
      <c r="HQ115" s="7">
        <v>5947</v>
      </c>
      <c r="HR115" s="7">
        <v>0</v>
      </c>
      <c r="HS115" s="7">
        <v>2</v>
      </c>
      <c r="HT115" s="7">
        <v>0</v>
      </c>
      <c r="HU115" s="7">
        <v>0</v>
      </c>
      <c r="HV115" s="7">
        <v>2</v>
      </c>
      <c r="HW115" s="7">
        <v>0</v>
      </c>
      <c r="HX115" s="7">
        <v>217</v>
      </c>
      <c r="HY115" s="7">
        <v>201</v>
      </c>
      <c r="HZ115" s="7">
        <v>577</v>
      </c>
      <c r="IA115" s="7">
        <v>816</v>
      </c>
      <c r="IB115" s="7">
        <v>989</v>
      </c>
      <c r="IC115" s="7">
        <v>952</v>
      </c>
      <c r="ID115" s="7">
        <v>846</v>
      </c>
      <c r="IE115" s="7">
        <v>610</v>
      </c>
      <c r="IF115" s="7">
        <v>396</v>
      </c>
      <c r="IG115" s="7">
        <v>601</v>
      </c>
      <c r="IH115" s="7">
        <v>423</v>
      </c>
      <c r="II115" s="7">
        <v>3010</v>
      </c>
      <c r="IJ115" s="7">
        <v>1571</v>
      </c>
      <c r="IK115" s="7">
        <v>565</v>
      </c>
      <c r="IL115" s="7">
        <v>248</v>
      </c>
      <c r="IM115" s="7">
        <v>74</v>
      </c>
      <c r="IN115" s="7">
        <v>19</v>
      </c>
      <c r="IO115" s="7">
        <v>5</v>
      </c>
      <c r="IP115" s="7">
        <v>12</v>
      </c>
      <c r="IQ115" s="7">
        <v>3482</v>
      </c>
      <c r="IR115" s="7">
        <v>1715</v>
      </c>
      <c r="IS115" s="7">
        <v>464</v>
      </c>
      <c r="IT115" s="7">
        <v>205</v>
      </c>
      <c r="IU115" s="7">
        <v>61</v>
      </c>
      <c r="IV115" s="7">
        <v>706</v>
      </c>
      <c r="IW115" s="7">
        <v>3409</v>
      </c>
      <c r="IX115" s="7">
        <v>70</v>
      </c>
      <c r="IY115" s="7">
        <v>44</v>
      </c>
      <c r="IZ115" s="7">
        <v>3</v>
      </c>
      <c r="JA115" s="7">
        <v>1720</v>
      </c>
      <c r="JB115" s="7">
        <v>1711</v>
      </c>
      <c r="JC115" s="7">
        <v>1233</v>
      </c>
      <c r="JD115" s="7">
        <v>879</v>
      </c>
      <c r="JE115" s="7">
        <v>160</v>
      </c>
      <c r="JF115" s="151">
        <v>5456.8553509850972</v>
      </c>
      <c r="JG115" s="151">
        <v>503.75995444458204</v>
      </c>
      <c r="JH115" s="7">
        <v>1372</v>
      </c>
      <c r="JI115" s="7">
        <v>4568</v>
      </c>
      <c r="JJ115" s="7">
        <v>18</v>
      </c>
      <c r="JK115" s="7">
        <v>30</v>
      </c>
      <c r="JL115" s="7">
        <v>947</v>
      </c>
      <c r="JM115" s="7">
        <v>119</v>
      </c>
      <c r="JN115" s="7">
        <v>202</v>
      </c>
      <c r="JO115" s="7">
        <v>3245</v>
      </c>
      <c r="JP115" s="7">
        <v>2715</v>
      </c>
      <c r="JQ115" s="7">
        <v>94</v>
      </c>
      <c r="JR115" s="7">
        <v>99</v>
      </c>
      <c r="JS115" s="7">
        <v>186</v>
      </c>
      <c r="JT115" s="7">
        <v>12</v>
      </c>
      <c r="JU115" s="151">
        <v>181.10775335159775</v>
      </c>
      <c r="JV115" s="151">
        <v>3391.4971542267917</v>
      </c>
      <c r="JW115" s="151">
        <v>1869.2701626416763</v>
      </c>
      <c r="JX115" s="151">
        <v>14.980280765031415</v>
      </c>
      <c r="JY115" s="7">
        <v>5335</v>
      </c>
      <c r="JZ115" s="7">
        <v>30964</v>
      </c>
      <c r="KA115" s="7">
        <v>0</v>
      </c>
      <c r="KB115" s="7">
        <v>8</v>
      </c>
      <c r="KC115" s="7">
        <v>0</v>
      </c>
      <c r="KD115" s="7">
        <v>0</v>
      </c>
      <c r="KE115" s="7">
        <v>10</v>
      </c>
      <c r="KF115" s="7">
        <v>0</v>
      </c>
      <c r="KG115" s="7">
        <v>741</v>
      </c>
      <c r="KH115" s="7">
        <v>6860</v>
      </c>
      <c r="KI115" s="7">
        <v>24078</v>
      </c>
      <c r="KJ115" s="7">
        <v>98</v>
      </c>
      <c r="KK115" s="7">
        <v>143</v>
      </c>
      <c r="KL115" s="7">
        <v>943</v>
      </c>
      <c r="KM115" s="7">
        <v>17659</v>
      </c>
      <c r="KN115" s="7">
        <v>9733</v>
      </c>
      <c r="KO115" s="7">
        <v>78</v>
      </c>
      <c r="KP115" s="7">
        <v>28413</v>
      </c>
      <c r="KQ115" s="7">
        <v>2623</v>
      </c>
      <c r="KR115" s="7">
        <v>5377</v>
      </c>
      <c r="KS115" s="7">
        <v>5377</v>
      </c>
      <c r="KT115" s="7">
        <v>1124</v>
      </c>
      <c r="KU115" s="7">
        <v>316</v>
      </c>
      <c r="KV115" s="7">
        <v>951</v>
      </c>
      <c r="KW115" s="7">
        <v>0</v>
      </c>
      <c r="KX115" s="7">
        <v>1041</v>
      </c>
      <c r="KY115" s="7">
        <v>304</v>
      </c>
      <c r="KZ115" s="7">
        <v>836</v>
      </c>
      <c r="LA115" s="7">
        <v>0</v>
      </c>
      <c r="LB115" s="7">
        <v>2623</v>
      </c>
      <c r="LC115" s="7">
        <v>2580</v>
      </c>
      <c r="LD115" s="7">
        <v>2081</v>
      </c>
      <c r="LE115" s="7">
        <v>4514</v>
      </c>
      <c r="LF115" s="7">
        <v>19074</v>
      </c>
      <c r="LG115" s="7">
        <v>31</v>
      </c>
      <c r="LH115" s="7">
        <v>3551</v>
      </c>
      <c r="LI115" s="7">
        <v>614</v>
      </c>
      <c r="LJ115" s="7">
        <v>1771</v>
      </c>
      <c r="LK115" s="7">
        <v>2</v>
      </c>
      <c r="LL115" s="7">
        <v>1320</v>
      </c>
      <c r="LM115" s="7">
        <v>250</v>
      </c>
      <c r="LN115" s="7">
        <v>24</v>
      </c>
      <c r="LO115" s="7">
        <v>3247</v>
      </c>
      <c r="LP115" s="7">
        <v>492</v>
      </c>
      <c r="LQ115" s="7">
        <v>1298</v>
      </c>
      <c r="LR115" s="7">
        <v>0</v>
      </c>
      <c r="LS115" s="7">
        <v>882</v>
      </c>
      <c r="LT115" s="7">
        <v>112</v>
      </c>
      <c r="LU115" s="232">
        <v>4.9627234490000003</v>
      </c>
      <c r="LV115" s="232">
        <v>5.9401466243999996</v>
      </c>
      <c r="LW115" s="232">
        <v>4.0586985123000003</v>
      </c>
      <c r="LX115" s="7">
        <v>5988</v>
      </c>
      <c r="LY115" s="7">
        <v>31179</v>
      </c>
    </row>
    <row r="116" spans="1:337" x14ac:dyDescent="0.25">
      <c r="A116" t="s">
        <v>238</v>
      </c>
      <c r="B116" t="s">
        <v>239</v>
      </c>
      <c r="C116" s="7">
        <v>33467</v>
      </c>
      <c r="D116">
        <v>37737</v>
      </c>
      <c r="F116">
        <f t="shared" si="6"/>
        <v>-37737</v>
      </c>
      <c r="G116">
        <f t="shared" si="7"/>
        <v>-100</v>
      </c>
      <c r="H116">
        <v>18487</v>
      </c>
      <c r="I116">
        <v>19250</v>
      </c>
      <c r="J116">
        <v>13888</v>
      </c>
      <c r="K116">
        <v>23849</v>
      </c>
      <c r="L116" s="7">
        <v>1973</v>
      </c>
      <c r="M116" s="7">
        <v>2047</v>
      </c>
      <c r="N116" s="7">
        <v>2013</v>
      </c>
      <c r="O116" s="7">
        <v>2081</v>
      </c>
      <c r="P116" s="7">
        <v>1582</v>
      </c>
      <c r="Q116" s="7">
        <v>1261</v>
      </c>
      <c r="R116" s="7">
        <v>1243</v>
      </c>
      <c r="S116" s="7">
        <v>1139</v>
      </c>
      <c r="T116" s="7">
        <v>1004</v>
      </c>
      <c r="U116" s="7">
        <v>923</v>
      </c>
      <c r="V116" s="7">
        <v>812</v>
      </c>
      <c r="W116" s="7">
        <v>651</v>
      </c>
      <c r="X116" s="7">
        <v>502</v>
      </c>
      <c r="Y116" s="7">
        <v>1246</v>
      </c>
      <c r="Z116" s="7">
        <v>10</v>
      </c>
      <c r="AA116" s="7">
        <v>1844</v>
      </c>
      <c r="AB116" s="7">
        <v>1916</v>
      </c>
      <c r="AC116" s="7">
        <v>1878</v>
      </c>
      <c r="AD116" s="7">
        <v>2051</v>
      </c>
      <c r="AE116" s="7">
        <v>1746</v>
      </c>
      <c r="AF116" s="7">
        <v>1566</v>
      </c>
      <c r="AG116" s="7">
        <v>1475</v>
      </c>
      <c r="AH116" s="7">
        <v>1341</v>
      </c>
      <c r="AI116" s="7">
        <v>1095</v>
      </c>
      <c r="AJ116" s="7">
        <v>981</v>
      </c>
      <c r="AK116" s="7">
        <v>845</v>
      </c>
      <c r="AL116" s="7">
        <v>655</v>
      </c>
      <c r="AM116" s="7">
        <v>521</v>
      </c>
      <c r="AN116" s="7">
        <v>1326</v>
      </c>
      <c r="AO116" s="7">
        <v>10</v>
      </c>
      <c r="AP116">
        <v>35844</v>
      </c>
      <c r="AQ116">
        <v>848</v>
      </c>
      <c r="AR116">
        <v>40</v>
      </c>
      <c r="AS116">
        <v>913</v>
      </c>
      <c r="AT116">
        <v>92</v>
      </c>
      <c r="AU116" s="7">
        <v>87</v>
      </c>
      <c r="AV116" s="7">
        <v>51</v>
      </c>
      <c r="AW116" s="7">
        <v>36</v>
      </c>
      <c r="AX116" s="7">
        <v>74</v>
      </c>
      <c r="AY116" s="7">
        <v>87</v>
      </c>
      <c r="AZ116" s="7">
        <v>53</v>
      </c>
      <c r="BA116" s="7">
        <v>34</v>
      </c>
      <c r="BB116" s="7">
        <v>0</v>
      </c>
      <c r="BC116" s="7">
        <v>1</v>
      </c>
      <c r="BD116" s="7">
        <v>2</v>
      </c>
      <c r="BE116" s="7">
        <v>2</v>
      </c>
      <c r="BF116" s="7">
        <v>5</v>
      </c>
      <c r="BG116" s="7">
        <v>0</v>
      </c>
      <c r="BH116" s="7">
        <v>4</v>
      </c>
      <c r="BI116" s="7">
        <v>3</v>
      </c>
      <c r="BJ116" s="7">
        <v>4</v>
      </c>
      <c r="BK116" s="7">
        <v>3</v>
      </c>
      <c r="BL116" s="7">
        <v>8</v>
      </c>
      <c r="BM116" s="7">
        <v>0</v>
      </c>
      <c r="BN116" s="7">
        <v>5</v>
      </c>
      <c r="BO116" s="7">
        <v>3</v>
      </c>
      <c r="BP116" s="7">
        <v>5</v>
      </c>
      <c r="BQ116" s="7">
        <v>4</v>
      </c>
      <c r="BR116" s="7">
        <v>3</v>
      </c>
      <c r="BS116" s="7">
        <v>5</v>
      </c>
      <c r="BT116" s="7">
        <v>4</v>
      </c>
      <c r="BU116" s="7">
        <v>4</v>
      </c>
      <c r="BV116" s="7">
        <v>3</v>
      </c>
      <c r="BW116" s="7">
        <v>3</v>
      </c>
      <c r="BX116" s="7">
        <v>2</v>
      </c>
      <c r="BY116" s="7">
        <v>1</v>
      </c>
      <c r="BZ116" s="7">
        <v>4</v>
      </c>
      <c r="CA116" s="7">
        <v>1</v>
      </c>
      <c r="CB116" s="7">
        <v>2</v>
      </c>
      <c r="CC116" s="7">
        <v>6</v>
      </c>
      <c r="CD116" s="7">
        <v>34</v>
      </c>
      <c r="CE116" s="7">
        <v>24</v>
      </c>
      <c r="CF116" s="7">
        <v>0</v>
      </c>
      <c r="CG116" s="7">
        <v>1</v>
      </c>
      <c r="CH116" s="7">
        <v>6908</v>
      </c>
      <c r="CI116" s="7">
        <v>2013</v>
      </c>
      <c r="CJ116" s="7">
        <v>30383</v>
      </c>
      <c r="CK116" s="7">
        <v>7345</v>
      </c>
      <c r="CL116" s="7">
        <v>655</v>
      </c>
      <c r="CM116" s="7">
        <v>1150</v>
      </c>
      <c r="CN116" s="7">
        <v>1548</v>
      </c>
      <c r="CO116" s="7">
        <v>1948</v>
      </c>
      <c r="CP116" s="7">
        <v>1688</v>
      </c>
      <c r="CQ116" s="7">
        <v>1932</v>
      </c>
      <c r="CR116" s="7">
        <v>6303</v>
      </c>
      <c r="CS116" s="7">
        <v>16129</v>
      </c>
      <c r="CT116" s="7">
        <v>3396</v>
      </c>
      <c r="CU116" s="7">
        <v>962</v>
      </c>
      <c r="CV116" s="7">
        <v>432</v>
      </c>
      <c r="CW116" s="7">
        <v>1243</v>
      </c>
      <c r="CX116" s="7">
        <v>218</v>
      </c>
      <c r="CY116" s="7">
        <v>20712</v>
      </c>
      <c r="CZ116" s="7">
        <v>14929</v>
      </c>
      <c r="DA116" s="7">
        <v>795</v>
      </c>
      <c r="DB116" s="7">
        <v>655</v>
      </c>
      <c r="DC116" s="7">
        <v>77</v>
      </c>
      <c r="DD116" s="7">
        <v>1000</v>
      </c>
      <c r="DE116" s="7">
        <v>3926</v>
      </c>
      <c r="DF116" s="7">
        <v>18923</v>
      </c>
      <c r="DG116" s="7">
        <v>6862</v>
      </c>
      <c r="DH116" s="7">
        <v>7026</v>
      </c>
      <c r="DI116" s="7">
        <v>0</v>
      </c>
      <c r="DJ116" s="7">
        <v>0</v>
      </c>
      <c r="DK116" s="7">
        <v>0</v>
      </c>
      <c r="DL116" s="7">
        <v>27</v>
      </c>
      <c r="DM116" s="7">
        <v>10</v>
      </c>
      <c r="DN116" s="7">
        <v>17</v>
      </c>
      <c r="DO116" s="7">
        <v>2</v>
      </c>
      <c r="DP116" s="7">
        <v>1</v>
      </c>
      <c r="DQ116" s="7">
        <v>0</v>
      </c>
      <c r="DR116" s="7">
        <v>0</v>
      </c>
      <c r="DS116" s="7">
        <v>0</v>
      </c>
      <c r="DT116" s="7">
        <v>330</v>
      </c>
      <c r="DU116" s="7">
        <v>288</v>
      </c>
      <c r="DV116" s="7">
        <v>174</v>
      </c>
      <c r="DW116" s="7">
        <v>181</v>
      </c>
      <c r="DX116" s="7">
        <v>74</v>
      </c>
      <c r="DY116" s="7">
        <v>69</v>
      </c>
      <c r="DZ116" s="7">
        <v>77</v>
      </c>
      <c r="EA116" s="7">
        <v>63</v>
      </c>
      <c r="EB116" s="7">
        <v>30</v>
      </c>
      <c r="EC116" s="7">
        <v>20</v>
      </c>
      <c r="ED116" s="7">
        <v>22</v>
      </c>
      <c r="EE116" s="7">
        <v>20</v>
      </c>
      <c r="EF116" s="7">
        <v>52</v>
      </c>
      <c r="EG116" s="7">
        <v>59</v>
      </c>
      <c r="EH116" s="7">
        <v>377</v>
      </c>
      <c r="EI116" s="7">
        <v>209</v>
      </c>
      <c r="EJ116" s="7">
        <v>84</v>
      </c>
      <c r="EK116" s="7">
        <v>57</v>
      </c>
      <c r="EL116" s="7">
        <v>25</v>
      </c>
      <c r="EM116" s="7">
        <v>20</v>
      </c>
      <c r="EN116" s="7">
        <v>53</v>
      </c>
      <c r="EO116" s="7">
        <v>10109</v>
      </c>
      <c r="EP116" s="7">
        <v>9798</v>
      </c>
      <c r="EQ116" s="7">
        <v>311</v>
      </c>
      <c r="ER116" s="7">
        <v>3484</v>
      </c>
      <c r="ES116" s="7">
        <v>3517</v>
      </c>
      <c r="ET116" s="7">
        <v>3411</v>
      </c>
      <c r="EU116" s="7">
        <v>106</v>
      </c>
      <c r="EV116" s="7">
        <v>11121</v>
      </c>
      <c r="EW116" s="134">
        <v>32.993144282000003</v>
      </c>
      <c r="EX116" s="134">
        <v>12.729822374999999</v>
      </c>
      <c r="EY116" s="134">
        <v>14.428170769999999</v>
      </c>
      <c r="EZ116" s="134">
        <v>38.913991897999999</v>
      </c>
      <c r="FA116" s="134">
        <v>0.93487067619999997</v>
      </c>
      <c r="FB116" s="7">
        <v>1838</v>
      </c>
      <c r="FC116" s="7">
        <v>3857</v>
      </c>
      <c r="FD116" s="7">
        <v>389</v>
      </c>
      <c r="FE116" s="7">
        <v>3152</v>
      </c>
      <c r="FF116" s="7">
        <v>28</v>
      </c>
      <c r="FG116" s="7">
        <v>2408</v>
      </c>
      <c r="FH116" s="7">
        <v>1898</v>
      </c>
      <c r="FI116" s="134">
        <v>34.917419756999998</v>
      </c>
      <c r="FJ116" s="134">
        <v>29.245870988</v>
      </c>
      <c r="FK116" s="134">
        <v>31.918043004000001</v>
      </c>
      <c r="FL116" s="134">
        <v>3.9186662511999999</v>
      </c>
      <c r="FM116" s="151">
        <v>9665</v>
      </c>
      <c r="FN116" s="151">
        <v>8758</v>
      </c>
      <c r="FO116" s="7">
        <v>2263</v>
      </c>
      <c r="FP116" s="7">
        <v>1344</v>
      </c>
      <c r="FQ116" s="7">
        <v>119</v>
      </c>
      <c r="FR116" s="7">
        <v>410</v>
      </c>
      <c r="FS116" s="7">
        <v>5077</v>
      </c>
      <c r="FT116" s="7">
        <v>58</v>
      </c>
      <c r="FU116" s="7">
        <v>455</v>
      </c>
      <c r="FV116" s="7">
        <v>64</v>
      </c>
      <c r="FW116" s="7">
        <v>10823</v>
      </c>
      <c r="FX116" s="7">
        <v>8360</v>
      </c>
      <c r="FY116" s="7">
        <v>2287</v>
      </c>
      <c r="FZ116" s="7">
        <v>1442</v>
      </c>
      <c r="GA116" s="7">
        <v>164</v>
      </c>
      <c r="GB116" s="7">
        <v>391</v>
      </c>
      <c r="GC116" s="7">
        <v>6081</v>
      </c>
      <c r="GD116" s="7">
        <v>52</v>
      </c>
      <c r="GE116" s="7">
        <v>476</v>
      </c>
      <c r="GF116" s="7">
        <v>67</v>
      </c>
      <c r="GG116" s="7">
        <v>1055</v>
      </c>
      <c r="GH116" s="7">
        <v>1143</v>
      </c>
      <c r="GI116" s="7">
        <v>1158</v>
      </c>
      <c r="GJ116" s="7">
        <v>1072</v>
      </c>
      <c r="GK116" s="7">
        <v>608</v>
      </c>
      <c r="GL116" s="7">
        <v>563</v>
      </c>
      <c r="GM116" s="7">
        <v>648</v>
      </c>
      <c r="GN116" s="7">
        <v>592</v>
      </c>
      <c r="GO116" s="7">
        <v>524</v>
      </c>
      <c r="GP116" s="7">
        <v>506</v>
      </c>
      <c r="GQ116" s="7">
        <v>427</v>
      </c>
      <c r="GR116" s="7">
        <v>355</v>
      </c>
      <c r="GS116" s="7">
        <v>272</v>
      </c>
      <c r="GT116" s="7">
        <v>224</v>
      </c>
      <c r="GU116" s="7">
        <v>229</v>
      </c>
      <c r="GV116" s="7">
        <v>145</v>
      </c>
      <c r="GW116" s="7">
        <v>80</v>
      </c>
      <c r="GX116" s="7">
        <v>62</v>
      </c>
      <c r="GY116" s="7">
        <v>954</v>
      </c>
      <c r="GZ116" s="7">
        <v>1046</v>
      </c>
      <c r="HA116" s="7">
        <v>1079</v>
      </c>
      <c r="HB116" s="7">
        <v>1061</v>
      </c>
      <c r="HC116" s="7">
        <v>817</v>
      </c>
      <c r="HD116" s="7">
        <v>829</v>
      </c>
      <c r="HE116" s="7">
        <v>855</v>
      </c>
      <c r="HF116" s="7">
        <v>812</v>
      </c>
      <c r="HG116" s="7">
        <v>676</v>
      </c>
      <c r="HH116" s="7">
        <v>592</v>
      </c>
      <c r="HI116" s="7">
        <v>531</v>
      </c>
      <c r="HJ116" s="7">
        <v>399</v>
      </c>
      <c r="HK116" s="7">
        <v>327</v>
      </c>
      <c r="HL116" s="7">
        <v>278</v>
      </c>
      <c r="HM116" s="7">
        <v>249</v>
      </c>
      <c r="HN116" s="7">
        <v>149</v>
      </c>
      <c r="HO116" s="7">
        <v>96</v>
      </c>
      <c r="HP116" s="7">
        <v>71</v>
      </c>
      <c r="HQ116" s="7">
        <v>8858</v>
      </c>
      <c r="HR116" s="7">
        <v>13</v>
      </c>
      <c r="HS116" s="7">
        <v>23</v>
      </c>
      <c r="HT116" s="7">
        <v>0</v>
      </c>
      <c r="HU116" s="7">
        <v>6</v>
      </c>
      <c r="HV116" s="7">
        <v>0</v>
      </c>
      <c r="HW116" s="7">
        <v>1</v>
      </c>
      <c r="HX116" s="7">
        <v>23</v>
      </c>
      <c r="HY116" s="7">
        <v>653</v>
      </c>
      <c r="HZ116" s="7">
        <v>1149</v>
      </c>
      <c r="IA116" s="7">
        <v>1546</v>
      </c>
      <c r="IB116" s="7">
        <v>1948</v>
      </c>
      <c r="IC116" s="7">
        <v>1686</v>
      </c>
      <c r="ID116" s="7">
        <v>916</v>
      </c>
      <c r="IE116" s="7">
        <v>442</v>
      </c>
      <c r="IF116" s="7">
        <v>249</v>
      </c>
      <c r="IG116" s="7">
        <v>325</v>
      </c>
      <c r="IH116" s="7">
        <v>1055</v>
      </c>
      <c r="II116" s="7">
        <v>2375</v>
      </c>
      <c r="IJ116" s="7">
        <v>2370</v>
      </c>
      <c r="IK116" s="7">
        <v>1590</v>
      </c>
      <c r="IL116" s="7">
        <v>902</v>
      </c>
      <c r="IM116" s="7">
        <v>378</v>
      </c>
      <c r="IN116" s="7">
        <v>126</v>
      </c>
      <c r="IO116" s="7">
        <v>47</v>
      </c>
      <c r="IP116" s="7">
        <v>35</v>
      </c>
      <c r="IQ116" s="7">
        <v>3723</v>
      </c>
      <c r="IR116" s="7">
        <v>3150</v>
      </c>
      <c r="IS116" s="7">
        <v>1499</v>
      </c>
      <c r="IT116" s="7">
        <v>400</v>
      </c>
      <c r="IU116" s="7">
        <v>111</v>
      </c>
      <c r="IV116" s="7">
        <v>3374</v>
      </c>
      <c r="IW116" s="7">
        <v>974</v>
      </c>
      <c r="IX116" s="7">
        <v>236</v>
      </c>
      <c r="IY116" s="7">
        <v>167</v>
      </c>
      <c r="IZ116" s="7">
        <v>2</v>
      </c>
      <c r="JA116" s="7">
        <v>4117</v>
      </c>
      <c r="JB116" s="7">
        <v>2511</v>
      </c>
      <c r="JC116" s="7">
        <v>5677</v>
      </c>
      <c r="JD116" s="7">
        <v>67</v>
      </c>
      <c r="JE116" s="7">
        <v>29</v>
      </c>
      <c r="JF116" s="151">
        <v>8449.2715036359787</v>
      </c>
      <c r="JG116" s="151">
        <v>438.6253222300042</v>
      </c>
      <c r="JH116" s="7">
        <v>1837</v>
      </c>
      <c r="JI116" s="7">
        <v>6075</v>
      </c>
      <c r="JJ116" s="7">
        <v>972</v>
      </c>
      <c r="JK116" s="7">
        <v>30</v>
      </c>
      <c r="JL116" s="7">
        <v>6399</v>
      </c>
      <c r="JM116" s="7">
        <v>2633</v>
      </c>
      <c r="JN116" s="7">
        <v>1859</v>
      </c>
      <c r="JO116" s="7">
        <v>6551</v>
      </c>
      <c r="JP116" s="7">
        <v>7722</v>
      </c>
      <c r="JQ116" s="7">
        <v>1017</v>
      </c>
      <c r="JR116" s="7">
        <v>1065</v>
      </c>
      <c r="JS116" s="7">
        <v>4955</v>
      </c>
      <c r="JT116" s="7">
        <v>478</v>
      </c>
      <c r="JU116" s="151">
        <v>1280.4076117927077</v>
      </c>
      <c r="JV116" s="151">
        <v>6777.52970947634</v>
      </c>
      <c r="JW116" s="151">
        <v>183.25316696940877</v>
      </c>
      <c r="JX116" s="151">
        <v>208.08101539752221</v>
      </c>
      <c r="JY116" s="7">
        <v>8627</v>
      </c>
      <c r="JZ116" s="7">
        <v>37520</v>
      </c>
      <c r="KA116" s="7">
        <v>46</v>
      </c>
      <c r="KB116" s="7">
        <v>71</v>
      </c>
      <c r="KC116" s="7">
        <v>0</v>
      </c>
      <c r="KD116" s="7">
        <v>17</v>
      </c>
      <c r="KE116" s="7">
        <v>0</v>
      </c>
      <c r="KF116" s="7">
        <v>3</v>
      </c>
      <c r="KG116" s="7">
        <v>80</v>
      </c>
      <c r="KH116" s="7">
        <v>7679</v>
      </c>
      <c r="KI116" s="7">
        <v>26120</v>
      </c>
      <c r="KJ116" s="7">
        <v>3781</v>
      </c>
      <c r="KK116" s="7">
        <v>128</v>
      </c>
      <c r="KL116" s="7">
        <v>5415</v>
      </c>
      <c r="KM116" s="7">
        <v>28663</v>
      </c>
      <c r="KN116" s="7">
        <v>775</v>
      </c>
      <c r="KO116" s="7">
        <v>880</v>
      </c>
      <c r="KP116" s="7">
        <v>35733</v>
      </c>
      <c r="KQ116" s="7">
        <v>1855</v>
      </c>
      <c r="KR116" s="7">
        <v>5869</v>
      </c>
      <c r="KS116" s="7">
        <v>5869</v>
      </c>
      <c r="KT116" s="7">
        <v>978</v>
      </c>
      <c r="KU116" s="7">
        <v>388</v>
      </c>
      <c r="KV116" s="7">
        <v>1187</v>
      </c>
      <c r="KW116" s="7">
        <v>2</v>
      </c>
      <c r="KX116" s="7">
        <v>897</v>
      </c>
      <c r="KY116" s="7">
        <v>411</v>
      </c>
      <c r="KZ116" s="7">
        <v>1048</v>
      </c>
      <c r="LA116" s="7">
        <v>3</v>
      </c>
      <c r="LB116" s="7">
        <v>3106</v>
      </c>
      <c r="LC116" s="7">
        <v>2937</v>
      </c>
      <c r="LD116" s="7">
        <v>1491</v>
      </c>
      <c r="LE116" s="7">
        <v>2546</v>
      </c>
      <c r="LF116" s="7">
        <v>26046</v>
      </c>
      <c r="LG116" s="7">
        <v>25</v>
      </c>
      <c r="LH116" s="7">
        <v>3302</v>
      </c>
      <c r="LI116" s="7">
        <v>610</v>
      </c>
      <c r="LJ116" s="7">
        <v>2902</v>
      </c>
      <c r="LK116" s="7">
        <v>13</v>
      </c>
      <c r="LL116" s="7">
        <v>2499</v>
      </c>
      <c r="LM116" s="7">
        <v>1414</v>
      </c>
      <c r="LN116" s="7">
        <v>38</v>
      </c>
      <c r="LO116" s="7">
        <v>4039</v>
      </c>
      <c r="LP116" s="7">
        <v>536</v>
      </c>
      <c r="LQ116" s="7">
        <v>2680</v>
      </c>
      <c r="LR116" s="7">
        <v>37</v>
      </c>
      <c r="LS116" s="7">
        <v>2254</v>
      </c>
      <c r="LT116" s="7">
        <v>1317</v>
      </c>
      <c r="LU116" s="232">
        <v>7.3119734096000002</v>
      </c>
      <c r="LV116" s="232">
        <v>7.7536325475999996</v>
      </c>
      <c r="LW116" s="232">
        <v>6.9062731721999997</v>
      </c>
      <c r="LX116" s="7">
        <v>8914</v>
      </c>
      <c r="LY116" s="7">
        <v>37708</v>
      </c>
    </row>
    <row r="117" spans="1:337" x14ac:dyDescent="0.25">
      <c r="A117" t="s">
        <v>236</v>
      </c>
      <c r="B117" t="s">
        <v>237</v>
      </c>
      <c r="C117" s="7">
        <v>434143</v>
      </c>
      <c r="D117">
        <v>553374</v>
      </c>
      <c r="F117">
        <f t="shared" si="6"/>
        <v>-553374</v>
      </c>
      <c r="G117">
        <f t="shared" si="7"/>
        <v>-100</v>
      </c>
      <c r="H117">
        <v>263941</v>
      </c>
      <c r="I117">
        <v>289433</v>
      </c>
      <c r="J117">
        <v>549894</v>
      </c>
      <c r="K117">
        <v>3480</v>
      </c>
      <c r="L117" s="7">
        <v>25638</v>
      </c>
      <c r="M117" s="7">
        <v>25040</v>
      </c>
      <c r="N117" s="7">
        <v>24448</v>
      </c>
      <c r="O117" s="7">
        <v>27184</v>
      </c>
      <c r="P117" s="7">
        <v>26374</v>
      </c>
      <c r="Q117" s="7">
        <v>22988</v>
      </c>
      <c r="R117" s="7">
        <v>20864</v>
      </c>
      <c r="S117" s="7">
        <v>19575</v>
      </c>
      <c r="T117" s="7">
        <v>16618</v>
      </c>
      <c r="U117" s="7">
        <v>13867</v>
      </c>
      <c r="V117" s="7">
        <v>11941</v>
      </c>
      <c r="W117" s="7">
        <v>8687</v>
      </c>
      <c r="X117" s="7">
        <v>6464</v>
      </c>
      <c r="Y117" s="7">
        <v>11266</v>
      </c>
      <c r="Z117" s="7">
        <v>2987</v>
      </c>
      <c r="AA117" s="7">
        <v>24619</v>
      </c>
      <c r="AB117" s="7">
        <v>24352</v>
      </c>
      <c r="AC117" s="7">
        <v>23829</v>
      </c>
      <c r="AD117" s="7">
        <v>27838</v>
      </c>
      <c r="AE117" s="7">
        <v>29585</v>
      </c>
      <c r="AF117" s="7">
        <v>26769</v>
      </c>
      <c r="AG117" s="7">
        <v>25021</v>
      </c>
      <c r="AH117" s="7">
        <v>23541</v>
      </c>
      <c r="AI117" s="7">
        <v>19958</v>
      </c>
      <c r="AJ117" s="7">
        <v>16150</v>
      </c>
      <c r="AK117" s="7">
        <v>13244</v>
      </c>
      <c r="AL117" s="7">
        <v>9677</v>
      </c>
      <c r="AM117" s="7">
        <v>7550</v>
      </c>
      <c r="AN117" s="7">
        <v>14325</v>
      </c>
      <c r="AO117" s="7">
        <v>2975</v>
      </c>
      <c r="AP117">
        <v>505726</v>
      </c>
      <c r="AQ117">
        <v>39491</v>
      </c>
      <c r="AR117">
        <v>402</v>
      </c>
      <c r="AS117">
        <v>989</v>
      </c>
      <c r="AT117">
        <v>6766</v>
      </c>
      <c r="AU117" s="7">
        <v>11252</v>
      </c>
      <c r="AV117" s="7">
        <v>5389</v>
      </c>
      <c r="AW117" s="7">
        <v>5863</v>
      </c>
      <c r="AX117" s="7">
        <v>9298</v>
      </c>
      <c r="AY117" s="7">
        <v>11252</v>
      </c>
      <c r="AZ117" s="7">
        <v>447</v>
      </c>
      <c r="BA117" s="7">
        <v>10805</v>
      </c>
      <c r="BB117" s="7">
        <v>82</v>
      </c>
      <c r="BC117" s="7">
        <v>96</v>
      </c>
      <c r="BD117" s="7">
        <v>224</v>
      </c>
      <c r="BE117" s="7">
        <v>199</v>
      </c>
      <c r="BF117" s="7">
        <v>262</v>
      </c>
      <c r="BG117" s="7">
        <v>262</v>
      </c>
      <c r="BH117" s="7">
        <v>536</v>
      </c>
      <c r="BI117" s="7">
        <v>778</v>
      </c>
      <c r="BJ117" s="7">
        <v>743</v>
      </c>
      <c r="BK117" s="7">
        <v>1039</v>
      </c>
      <c r="BL117" s="7">
        <v>645</v>
      </c>
      <c r="BM117" s="7">
        <v>785</v>
      </c>
      <c r="BN117" s="7">
        <v>554</v>
      </c>
      <c r="BO117" s="7">
        <v>617</v>
      </c>
      <c r="BP117" s="7">
        <v>502</v>
      </c>
      <c r="BQ117" s="7">
        <v>557</v>
      </c>
      <c r="BR117" s="7">
        <v>441</v>
      </c>
      <c r="BS117" s="7">
        <v>404</v>
      </c>
      <c r="BT117" s="7">
        <v>379</v>
      </c>
      <c r="BU117" s="7">
        <v>309</v>
      </c>
      <c r="BV117" s="7">
        <v>325</v>
      </c>
      <c r="BW117" s="7">
        <v>235</v>
      </c>
      <c r="BX117" s="7">
        <v>207</v>
      </c>
      <c r="BY117" s="7">
        <v>164</v>
      </c>
      <c r="BZ117" s="7">
        <v>164</v>
      </c>
      <c r="CA117" s="7">
        <v>135</v>
      </c>
      <c r="CB117" s="7">
        <v>325</v>
      </c>
      <c r="CC117" s="7">
        <v>283</v>
      </c>
      <c r="CD117" s="7">
        <v>4923</v>
      </c>
      <c r="CE117" s="7">
        <v>5249</v>
      </c>
      <c r="CF117" s="7">
        <v>57</v>
      </c>
      <c r="CG117" s="7">
        <v>105</v>
      </c>
      <c r="CH117" s="7">
        <v>101155</v>
      </c>
      <c r="CI117" s="7">
        <v>40748</v>
      </c>
      <c r="CJ117" s="7">
        <v>408305</v>
      </c>
      <c r="CK117" s="7">
        <v>138459</v>
      </c>
      <c r="CL117" s="7">
        <v>10913</v>
      </c>
      <c r="CM117" s="7">
        <v>22191</v>
      </c>
      <c r="CN117" s="7">
        <v>29354</v>
      </c>
      <c r="CO117" s="7">
        <v>35630</v>
      </c>
      <c r="CP117" s="7">
        <v>23190</v>
      </c>
      <c r="CQ117" s="7">
        <v>20625</v>
      </c>
      <c r="CR117" s="7">
        <v>95458</v>
      </c>
      <c r="CS117" s="7">
        <v>223073</v>
      </c>
      <c r="CT117" s="7">
        <v>32942</v>
      </c>
      <c r="CU117" s="7">
        <v>11369</v>
      </c>
      <c r="CV117" s="7">
        <v>6550</v>
      </c>
      <c r="CW117" s="7">
        <v>26933</v>
      </c>
      <c r="CX117" s="7">
        <v>7287</v>
      </c>
      <c r="CY117" s="7">
        <v>315806</v>
      </c>
      <c r="CZ117" s="7">
        <v>191044</v>
      </c>
      <c r="DA117" s="7">
        <v>20801</v>
      </c>
      <c r="DB117" s="7">
        <v>10913</v>
      </c>
      <c r="DC117" s="7">
        <v>2968</v>
      </c>
      <c r="DD117" s="7">
        <v>2146</v>
      </c>
      <c r="DE117" s="7">
        <v>473</v>
      </c>
      <c r="DF117" s="7">
        <v>861</v>
      </c>
      <c r="DG117" s="7">
        <v>4632</v>
      </c>
      <c r="DH117" s="7">
        <v>8160</v>
      </c>
      <c r="DI117" s="7">
        <v>0</v>
      </c>
      <c r="DJ117" s="7">
        <v>0</v>
      </c>
      <c r="DK117" s="7">
        <v>537102</v>
      </c>
      <c r="DL117" s="7">
        <v>110</v>
      </c>
      <c r="DM117" s="7">
        <v>1</v>
      </c>
      <c r="DN117" s="7">
        <v>1</v>
      </c>
      <c r="DO117" s="7">
        <v>1</v>
      </c>
      <c r="DP117" s="7">
        <v>1</v>
      </c>
      <c r="DQ117" s="7">
        <v>0</v>
      </c>
      <c r="DR117" s="7">
        <v>0</v>
      </c>
      <c r="DS117" s="7">
        <v>1</v>
      </c>
      <c r="DT117" s="7">
        <v>3494</v>
      </c>
      <c r="DU117" s="7">
        <v>4708</v>
      </c>
      <c r="DV117" s="7">
        <v>2035</v>
      </c>
      <c r="DW117" s="7">
        <v>2285</v>
      </c>
      <c r="DX117" s="7">
        <v>712</v>
      </c>
      <c r="DY117" s="7">
        <v>597</v>
      </c>
      <c r="DZ117" s="7">
        <v>790</v>
      </c>
      <c r="EA117" s="7">
        <v>652</v>
      </c>
      <c r="EB117" s="7">
        <v>328</v>
      </c>
      <c r="EC117" s="7">
        <v>366</v>
      </c>
      <c r="ED117" s="7">
        <v>310</v>
      </c>
      <c r="EE117" s="7">
        <v>281</v>
      </c>
      <c r="EF117" s="7">
        <v>861</v>
      </c>
      <c r="EG117" s="7">
        <v>742</v>
      </c>
      <c r="EH117" s="7">
        <v>5426</v>
      </c>
      <c r="EI117" s="7">
        <v>2842</v>
      </c>
      <c r="EJ117" s="7">
        <v>831</v>
      </c>
      <c r="EK117" s="7">
        <v>808</v>
      </c>
      <c r="EL117" s="7">
        <v>443</v>
      </c>
      <c r="EM117" s="7">
        <v>366</v>
      </c>
      <c r="EN117" s="7">
        <v>914</v>
      </c>
      <c r="EO117" s="7">
        <v>148697</v>
      </c>
      <c r="EP117" s="7">
        <v>143558</v>
      </c>
      <c r="EQ117" s="7">
        <v>5139</v>
      </c>
      <c r="ER117" s="7">
        <v>51068</v>
      </c>
      <c r="ES117" s="7">
        <v>95585</v>
      </c>
      <c r="ET117" s="7">
        <v>93523</v>
      </c>
      <c r="EU117" s="7">
        <v>2062</v>
      </c>
      <c r="EV117" s="7">
        <v>132016</v>
      </c>
      <c r="EW117" s="134">
        <v>1.4978553241000001</v>
      </c>
      <c r="EX117" s="134">
        <v>17.161252286</v>
      </c>
      <c r="EY117" s="134">
        <v>22.848061247</v>
      </c>
      <c r="EZ117" s="134">
        <v>57.512346839000003</v>
      </c>
      <c r="FA117" s="134">
        <v>0.98048430369999995</v>
      </c>
      <c r="FB117" s="7">
        <v>10323</v>
      </c>
      <c r="FC117" s="7">
        <v>49563</v>
      </c>
      <c r="FD117" s="7">
        <v>6731</v>
      </c>
      <c r="FE117" s="7">
        <v>43043</v>
      </c>
      <c r="FF117" s="7">
        <v>851</v>
      </c>
      <c r="FG117" s="7">
        <v>48053</v>
      </c>
      <c r="FH117" s="7">
        <v>84980</v>
      </c>
      <c r="FI117" s="134">
        <v>9.2340687322000008</v>
      </c>
      <c r="FJ117" s="134">
        <v>26.893894081999999</v>
      </c>
      <c r="FK117" s="134">
        <v>55.046824000000001</v>
      </c>
      <c r="FL117" s="134">
        <v>8.8252131858999991</v>
      </c>
      <c r="FM117" s="151">
        <v>151378</v>
      </c>
      <c r="FN117" s="151">
        <v>109185</v>
      </c>
      <c r="FO117" s="7">
        <v>75693</v>
      </c>
      <c r="FP117" s="7">
        <v>23134</v>
      </c>
      <c r="FQ117" s="7">
        <v>7045</v>
      </c>
      <c r="FR117" s="7">
        <v>2820</v>
      </c>
      <c r="FS117" s="7">
        <v>33628</v>
      </c>
      <c r="FT117" s="7">
        <v>4487</v>
      </c>
      <c r="FU117" s="7">
        <v>5983</v>
      </c>
      <c r="FV117" s="7">
        <v>3378</v>
      </c>
      <c r="FW117" s="7">
        <v>175985</v>
      </c>
      <c r="FX117" s="7">
        <v>109997</v>
      </c>
      <c r="FY117" s="7">
        <v>82248</v>
      </c>
      <c r="FZ117" s="7">
        <v>28674</v>
      </c>
      <c r="GA117" s="7">
        <v>9609</v>
      </c>
      <c r="GB117" s="7">
        <v>2818</v>
      </c>
      <c r="GC117" s="7">
        <v>43232</v>
      </c>
      <c r="GD117" s="7">
        <v>4493</v>
      </c>
      <c r="GE117" s="7">
        <v>6707</v>
      </c>
      <c r="GF117" s="7">
        <v>3451</v>
      </c>
      <c r="GG117" s="7">
        <v>15537</v>
      </c>
      <c r="GH117" s="7">
        <v>15084</v>
      </c>
      <c r="GI117" s="7">
        <v>15047</v>
      </c>
      <c r="GJ117" s="7">
        <v>15315</v>
      </c>
      <c r="GK117" s="7">
        <v>13220</v>
      </c>
      <c r="GL117" s="7">
        <v>11718</v>
      </c>
      <c r="GM117" s="7">
        <v>11679</v>
      </c>
      <c r="GN117" s="7">
        <v>11300</v>
      </c>
      <c r="GO117" s="7">
        <v>9749</v>
      </c>
      <c r="GP117" s="7">
        <v>8238</v>
      </c>
      <c r="GQ117" s="7">
        <v>7046</v>
      </c>
      <c r="GR117" s="7">
        <v>5214</v>
      </c>
      <c r="GS117" s="7">
        <v>4156</v>
      </c>
      <c r="GT117" s="7">
        <v>2978</v>
      </c>
      <c r="GU117" s="7">
        <v>2164</v>
      </c>
      <c r="GV117" s="7">
        <v>1399</v>
      </c>
      <c r="GW117" s="7">
        <v>848</v>
      </c>
      <c r="GX117" s="7">
        <v>664</v>
      </c>
      <c r="GY117" s="7">
        <v>14692</v>
      </c>
      <c r="GZ117" s="7">
        <v>14712</v>
      </c>
      <c r="HA117" s="7">
        <v>14571</v>
      </c>
      <c r="HB117" s="7">
        <v>15967</v>
      </c>
      <c r="HC117" s="7">
        <v>16100</v>
      </c>
      <c r="HD117" s="7">
        <v>15357</v>
      </c>
      <c r="HE117" s="7">
        <v>15341</v>
      </c>
      <c r="HF117" s="7">
        <v>14916</v>
      </c>
      <c r="HG117" s="7">
        <v>12745</v>
      </c>
      <c r="HH117" s="7">
        <v>10533</v>
      </c>
      <c r="HI117" s="7">
        <v>8920</v>
      </c>
      <c r="HJ117" s="7">
        <v>6580</v>
      </c>
      <c r="HK117" s="7">
        <v>5235</v>
      </c>
      <c r="HL117" s="7">
        <v>3715</v>
      </c>
      <c r="HM117" s="7">
        <v>2748</v>
      </c>
      <c r="HN117" s="7">
        <v>1754</v>
      </c>
      <c r="HO117" s="7">
        <v>1168</v>
      </c>
      <c r="HP117" s="7">
        <v>905</v>
      </c>
      <c r="HQ117" s="7">
        <v>129664</v>
      </c>
      <c r="HR117" s="7">
        <v>6411</v>
      </c>
      <c r="HS117" s="7">
        <v>5165</v>
      </c>
      <c r="HT117" s="7">
        <v>63</v>
      </c>
      <c r="HU117" s="7">
        <v>48</v>
      </c>
      <c r="HV117" s="7">
        <v>7</v>
      </c>
      <c r="HW117" s="7">
        <v>8</v>
      </c>
      <c r="HX117" s="7">
        <v>2486</v>
      </c>
      <c r="HY117" s="7">
        <v>10891</v>
      </c>
      <c r="HZ117" s="7">
        <v>22180</v>
      </c>
      <c r="IA117" s="7">
        <v>29348</v>
      </c>
      <c r="IB117" s="7">
        <v>35618</v>
      </c>
      <c r="IC117" s="7">
        <v>23184</v>
      </c>
      <c r="ID117" s="7">
        <v>10960</v>
      </c>
      <c r="IE117" s="7">
        <v>4524</v>
      </c>
      <c r="IF117" s="7">
        <v>2332</v>
      </c>
      <c r="IG117" s="7">
        <v>2803</v>
      </c>
      <c r="IH117" s="7">
        <v>18789</v>
      </c>
      <c r="II117" s="7">
        <v>21271</v>
      </c>
      <c r="IJ117" s="7">
        <v>31763</v>
      </c>
      <c r="IK117" s="7">
        <v>29759</v>
      </c>
      <c r="IL117" s="7">
        <v>20275</v>
      </c>
      <c r="IM117" s="7">
        <v>10601</v>
      </c>
      <c r="IN117" s="7">
        <v>4668</v>
      </c>
      <c r="IO117" s="7">
        <v>2417</v>
      </c>
      <c r="IP117" s="7">
        <v>1692</v>
      </c>
      <c r="IQ117" s="7">
        <v>52307</v>
      </c>
      <c r="IR117" s="7">
        <v>54454</v>
      </c>
      <c r="IS117" s="7">
        <v>26304</v>
      </c>
      <c r="IT117" s="7">
        <v>6683</v>
      </c>
      <c r="IU117" s="7">
        <v>1615</v>
      </c>
      <c r="IV117" s="7">
        <v>103351</v>
      </c>
      <c r="IW117" s="7">
        <v>14759</v>
      </c>
      <c r="IX117" s="7">
        <v>3783</v>
      </c>
      <c r="IY117" s="7">
        <v>850</v>
      </c>
      <c r="IZ117" s="7">
        <v>14566</v>
      </c>
      <c r="JA117" s="7">
        <v>4010</v>
      </c>
      <c r="JB117" s="7">
        <v>127197</v>
      </c>
      <c r="JC117" s="7">
        <v>12988</v>
      </c>
      <c r="JD117" s="7">
        <v>60</v>
      </c>
      <c r="JE117" s="7">
        <v>74</v>
      </c>
      <c r="JF117" s="151">
        <v>140746.77342792772</v>
      </c>
      <c r="JG117" s="151">
        <v>671.92946531387986</v>
      </c>
      <c r="JH117" s="7">
        <v>6927</v>
      </c>
      <c r="JI117" s="7">
        <v>87130</v>
      </c>
      <c r="JJ117" s="7">
        <v>47084</v>
      </c>
      <c r="JK117" s="7">
        <v>699</v>
      </c>
      <c r="JL117" s="7">
        <v>127089</v>
      </c>
      <c r="JM117" s="7">
        <v>95280</v>
      </c>
      <c r="JN117" s="7">
        <v>55264</v>
      </c>
      <c r="JO117" s="7">
        <v>112344</v>
      </c>
      <c r="JP117" s="7">
        <v>136652</v>
      </c>
      <c r="JQ117" s="7">
        <v>53595</v>
      </c>
      <c r="JR117" s="7">
        <v>59687</v>
      </c>
      <c r="JS117" s="7">
        <v>118122</v>
      </c>
      <c r="JT117" s="7">
        <v>37263</v>
      </c>
      <c r="JU117" s="151">
        <v>86233.802905361765</v>
      </c>
      <c r="JV117" s="151">
        <v>53898.39772462727</v>
      </c>
      <c r="JW117" s="151">
        <v>156.49805623185384</v>
      </c>
      <c r="JX117" s="151">
        <v>458.07474170683582</v>
      </c>
      <c r="JY117" s="7">
        <v>140984</v>
      </c>
      <c r="JZ117" s="7">
        <v>509201</v>
      </c>
      <c r="KA117" s="7">
        <v>19530</v>
      </c>
      <c r="KB117" s="7">
        <v>15694</v>
      </c>
      <c r="KC117" s="7">
        <v>176</v>
      </c>
      <c r="KD117" s="7">
        <v>138</v>
      </c>
      <c r="KE117" s="7">
        <v>20</v>
      </c>
      <c r="KF117" s="7">
        <v>20</v>
      </c>
      <c r="KG117" s="7">
        <v>7832</v>
      </c>
      <c r="KH117" s="7">
        <v>29498</v>
      </c>
      <c r="KI117" s="7">
        <v>343953</v>
      </c>
      <c r="KJ117" s="7">
        <v>170612</v>
      </c>
      <c r="KK117" s="7">
        <v>2523</v>
      </c>
      <c r="KL117" s="7">
        <v>332266</v>
      </c>
      <c r="KM117" s="7">
        <v>207675</v>
      </c>
      <c r="KN117" s="7">
        <v>603</v>
      </c>
      <c r="KO117" s="7">
        <v>1765</v>
      </c>
      <c r="KP117" s="7">
        <v>542309</v>
      </c>
      <c r="KQ117" s="7">
        <v>2589</v>
      </c>
      <c r="KR117" s="7">
        <v>83791</v>
      </c>
      <c r="KS117" s="7">
        <v>83791</v>
      </c>
      <c r="KT117" s="7">
        <v>13903</v>
      </c>
      <c r="KU117" s="7">
        <v>4727</v>
      </c>
      <c r="KV117" s="7">
        <v>13534</v>
      </c>
      <c r="KW117" s="7">
        <v>19</v>
      </c>
      <c r="KX117" s="7">
        <v>13466</v>
      </c>
      <c r="KY117" s="7">
        <v>4771</v>
      </c>
      <c r="KZ117" s="7">
        <v>13564</v>
      </c>
      <c r="LA117" s="7">
        <v>45</v>
      </c>
      <c r="LB117" s="7">
        <v>38391</v>
      </c>
      <c r="LC117" s="7">
        <v>37675</v>
      </c>
      <c r="LD117" s="7">
        <v>6844</v>
      </c>
      <c r="LE117" s="7">
        <v>14866</v>
      </c>
      <c r="LF117" s="7">
        <v>399486</v>
      </c>
      <c r="LG117" s="7">
        <v>332</v>
      </c>
      <c r="LH117" s="7">
        <v>35779</v>
      </c>
      <c r="LI117" s="7">
        <v>8445</v>
      </c>
      <c r="LJ117" s="7">
        <v>32167</v>
      </c>
      <c r="LK117" s="7">
        <v>335</v>
      </c>
      <c r="LL117" s="7">
        <v>41194</v>
      </c>
      <c r="LM117" s="7">
        <v>58860</v>
      </c>
      <c r="LN117" s="7">
        <v>433</v>
      </c>
      <c r="LO117" s="7">
        <v>51373</v>
      </c>
      <c r="LP117" s="7">
        <v>8027</v>
      </c>
      <c r="LQ117" s="7">
        <v>36879</v>
      </c>
      <c r="LR117" s="7">
        <v>1377</v>
      </c>
      <c r="LS117" s="7">
        <v>43444</v>
      </c>
      <c r="LT117" s="7">
        <v>55903</v>
      </c>
      <c r="LU117" s="232">
        <v>10.031280703</v>
      </c>
      <c r="LV117" s="232">
        <v>10.540056887</v>
      </c>
      <c r="LW117" s="232">
        <v>9.5891119178000004</v>
      </c>
      <c r="LX117" s="7">
        <v>141840</v>
      </c>
      <c r="LY117" s="7">
        <v>546586</v>
      </c>
    </row>
    <row r="118" spans="1:337" x14ac:dyDescent="0.25">
      <c r="A118" t="s">
        <v>240</v>
      </c>
      <c r="B118" t="s">
        <v>241</v>
      </c>
      <c r="C118" s="7">
        <v>23180</v>
      </c>
      <c r="D118">
        <v>28137</v>
      </c>
      <c r="F118">
        <f t="shared" si="6"/>
        <v>-28137</v>
      </c>
      <c r="G118">
        <f t="shared" si="7"/>
        <v>-100</v>
      </c>
      <c r="H118">
        <v>13896</v>
      </c>
      <c r="I118">
        <v>14241</v>
      </c>
      <c r="J118">
        <v>5426</v>
      </c>
      <c r="K118">
        <v>22711</v>
      </c>
      <c r="L118" s="7">
        <v>1577</v>
      </c>
      <c r="M118" s="7">
        <v>1580</v>
      </c>
      <c r="N118" s="7">
        <v>1689</v>
      </c>
      <c r="O118" s="7">
        <v>1619</v>
      </c>
      <c r="P118" s="7">
        <v>1156</v>
      </c>
      <c r="Q118" s="7">
        <v>872</v>
      </c>
      <c r="R118" s="7">
        <v>867</v>
      </c>
      <c r="S118" s="7">
        <v>832</v>
      </c>
      <c r="T118" s="7">
        <v>711</v>
      </c>
      <c r="U118" s="7">
        <v>608</v>
      </c>
      <c r="V118" s="7">
        <v>533</v>
      </c>
      <c r="W118" s="7">
        <v>519</v>
      </c>
      <c r="X118" s="7">
        <v>395</v>
      </c>
      <c r="Y118" s="7">
        <v>935</v>
      </c>
      <c r="Z118" s="7">
        <v>3</v>
      </c>
      <c r="AA118" s="7">
        <v>1492</v>
      </c>
      <c r="AB118" s="7">
        <v>1544</v>
      </c>
      <c r="AC118" s="7">
        <v>1526</v>
      </c>
      <c r="AD118" s="7">
        <v>1670</v>
      </c>
      <c r="AE118" s="7">
        <v>1330</v>
      </c>
      <c r="AF118" s="7">
        <v>1147</v>
      </c>
      <c r="AG118" s="7">
        <v>1008</v>
      </c>
      <c r="AH118" s="7">
        <v>896</v>
      </c>
      <c r="AI118" s="7">
        <v>759</v>
      </c>
      <c r="AJ118" s="7">
        <v>661</v>
      </c>
      <c r="AK118" s="7">
        <v>607</v>
      </c>
      <c r="AL118" s="7">
        <v>478</v>
      </c>
      <c r="AM118" s="7">
        <v>301</v>
      </c>
      <c r="AN118" s="7">
        <v>810</v>
      </c>
      <c r="AO118" s="7">
        <v>12</v>
      </c>
      <c r="AP118">
        <v>27513</v>
      </c>
      <c r="AQ118">
        <v>427</v>
      </c>
      <c r="AR118">
        <v>27</v>
      </c>
      <c r="AS118">
        <v>127</v>
      </c>
      <c r="AT118">
        <v>43</v>
      </c>
      <c r="AU118" s="7">
        <v>127</v>
      </c>
      <c r="AV118" s="7">
        <v>88</v>
      </c>
      <c r="AW118" s="7">
        <v>39</v>
      </c>
      <c r="AX118" s="7">
        <v>182</v>
      </c>
      <c r="AY118" s="7">
        <v>127</v>
      </c>
      <c r="AZ118" s="7">
        <v>110</v>
      </c>
      <c r="BA118" s="7">
        <v>17</v>
      </c>
      <c r="BB118" s="7">
        <v>0</v>
      </c>
      <c r="BC118" s="7">
        <v>0</v>
      </c>
      <c r="BD118" s="7">
        <v>0</v>
      </c>
      <c r="BE118" s="7">
        <v>0</v>
      </c>
      <c r="BF118" s="7">
        <v>1</v>
      </c>
      <c r="BG118" s="7">
        <v>1</v>
      </c>
      <c r="BH118" s="7">
        <v>1</v>
      </c>
      <c r="BI118" s="7">
        <v>0</v>
      </c>
      <c r="BJ118" s="7">
        <v>3</v>
      </c>
      <c r="BK118" s="7">
        <v>2</v>
      </c>
      <c r="BL118" s="7">
        <v>3</v>
      </c>
      <c r="BM118" s="7">
        <v>1</v>
      </c>
      <c r="BN118" s="7">
        <v>0</v>
      </c>
      <c r="BO118" s="7">
        <v>4</v>
      </c>
      <c r="BP118" s="7">
        <v>0</v>
      </c>
      <c r="BQ118" s="7">
        <v>2</v>
      </c>
      <c r="BR118" s="7">
        <v>4</v>
      </c>
      <c r="BS118" s="7">
        <v>2</v>
      </c>
      <c r="BT118" s="7">
        <v>4</v>
      </c>
      <c r="BU118" s="7">
        <v>3</v>
      </c>
      <c r="BV118" s="7">
        <v>7</v>
      </c>
      <c r="BW118" s="7">
        <v>0</v>
      </c>
      <c r="BX118" s="7">
        <v>8</v>
      </c>
      <c r="BY118" s="7">
        <v>2</v>
      </c>
      <c r="BZ118" s="7">
        <v>11</v>
      </c>
      <c r="CA118" s="7">
        <v>1</v>
      </c>
      <c r="CB118" s="7">
        <v>46</v>
      </c>
      <c r="CC118" s="7">
        <v>21</v>
      </c>
      <c r="CD118" s="7">
        <v>78</v>
      </c>
      <c r="CE118" s="7">
        <v>29</v>
      </c>
      <c r="CF118" s="7">
        <v>0</v>
      </c>
      <c r="CG118" s="7">
        <v>0</v>
      </c>
      <c r="CH118" s="7">
        <v>5073</v>
      </c>
      <c r="CI118" s="7">
        <v>1403</v>
      </c>
      <c r="CJ118" s="7">
        <v>22739</v>
      </c>
      <c r="CK118" s="7">
        <v>5395</v>
      </c>
      <c r="CL118" s="7">
        <v>483</v>
      </c>
      <c r="CM118" s="7">
        <v>789</v>
      </c>
      <c r="CN118" s="7">
        <v>1081</v>
      </c>
      <c r="CO118" s="7">
        <v>1385</v>
      </c>
      <c r="CP118" s="7">
        <v>1145</v>
      </c>
      <c r="CQ118" s="7">
        <v>1593</v>
      </c>
      <c r="CR118" s="7">
        <v>4569</v>
      </c>
      <c r="CS118" s="7">
        <v>12551</v>
      </c>
      <c r="CT118" s="7">
        <v>2450</v>
      </c>
      <c r="CU118" s="7">
        <v>675</v>
      </c>
      <c r="CV118" s="7">
        <v>251</v>
      </c>
      <c r="CW118" s="7">
        <v>973</v>
      </c>
      <c r="CX118" s="7">
        <v>134</v>
      </c>
      <c r="CY118" s="7">
        <v>15863</v>
      </c>
      <c r="CZ118" s="7">
        <v>11005</v>
      </c>
      <c r="DA118" s="7">
        <v>489</v>
      </c>
      <c r="DB118" s="7">
        <v>483</v>
      </c>
      <c r="DC118" s="7">
        <v>22</v>
      </c>
      <c r="DD118" s="7">
        <v>4869</v>
      </c>
      <c r="DE118" s="7">
        <v>5293</v>
      </c>
      <c r="DF118" s="7">
        <v>12549</v>
      </c>
      <c r="DG118" s="7">
        <v>5426</v>
      </c>
      <c r="DH118" s="7">
        <v>0</v>
      </c>
      <c r="DI118" s="7">
        <v>0</v>
      </c>
      <c r="DJ118" s="7">
        <v>0</v>
      </c>
      <c r="DK118" s="7">
        <v>0</v>
      </c>
      <c r="DL118" s="7">
        <v>92</v>
      </c>
      <c r="DM118" s="7">
        <v>13</v>
      </c>
      <c r="DN118" s="7">
        <v>14</v>
      </c>
      <c r="DO118" s="7">
        <v>2</v>
      </c>
      <c r="DP118" s="7">
        <v>0</v>
      </c>
      <c r="DQ118" s="7">
        <v>0</v>
      </c>
      <c r="DR118" s="7">
        <v>0</v>
      </c>
      <c r="DS118" s="7">
        <v>0</v>
      </c>
      <c r="DT118" s="7">
        <v>218</v>
      </c>
      <c r="DU118" s="7">
        <v>207</v>
      </c>
      <c r="DV118" s="7">
        <v>166</v>
      </c>
      <c r="DW118" s="7">
        <v>125</v>
      </c>
      <c r="DX118" s="7">
        <v>71</v>
      </c>
      <c r="DY118" s="7">
        <v>48</v>
      </c>
      <c r="DZ118" s="7">
        <v>67</v>
      </c>
      <c r="EA118" s="7">
        <v>47</v>
      </c>
      <c r="EB118" s="7">
        <v>16</v>
      </c>
      <c r="EC118" s="7">
        <v>14</v>
      </c>
      <c r="ED118" s="7">
        <v>5</v>
      </c>
      <c r="EE118" s="7">
        <v>9</v>
      </c>
      <c r="EF118" s="7">
        <v>56</v>
      </c>
      <c r="EG118" s="7">
        <v>67</v>
      </c>
      <c r="EH118" s="7">
        <v>243</v>
      </c>
      <c r="EI118" s="7">
        <v>153</v>
      </c>
      <c r="EJ118" s="7">
        <v>66</v>
      </c>
      <c r="EK118" s="7">
        <v>54</v>
      </c>
      <c r="EL118" s="7">
        <v>17</v>
      </c>
      <c r="EM118" s="7">
        <v>5</v>
      </c>
      <c r="EN118" s="7">
        <v>61</v>
      </c>
      <c r="EO118" s="7">
        <v>7557</v>
      </c>
      <c r="EP118" s="7">
        <v>7455</v>
      </c>
      <c r="EQ118" s="7">
        <v>102</v>
      </c>
      <c r="ER118" s="7">
        <v>2437</v>
      </c>
      <c r="ES118" s="7">
        <v>2040</v>
      </c>
      <c r="ET118" s="7">
        <v>2003</v>
      </c>
      <c r="EU118" s="7">
        <v>37</v>
      </c>
      <c r="EV118" s="7">
        <v>8507</v>
      </c>
      <c r="EW118" s="134">
        <v>47.515095215999999</v>
      </c>
      <c r="EX118" s="134">
        <v>11.994890850000001</v>
      </c>
      <c r="EY118" s="134">
        <v>18.601950766000002</v>
      </c>
      <c r="EZ118" s="134">
        <v>20.726892708000001</v>
      </c>
      <c r="FA118" s="134">
        <v>1.1611704598000001</v>
      </c>
      <c r="FB118" s="7">
        <v>1069</v>
      </c>
      <c r="FC118" s="7">
        <v>4317</v>
      </c>
      <c r="FD118" s="7">
        <v>337</v>
      </c>
      <c r="FE118" s="7">
        <v>2012</v>
      </c>
      <c r="FF118" s="7">
        <v>5</v>
      </c>
      <c r="FG118" s="7">
        <v>1285</v>
      </c>
      <c r="FH118" s="7">
        <v>555</v>
      </c>
      <c r="FI118" s="134">
        <v>46.365536460999998</v>
      </c>
      <c r="FJ118" s="134">
        <v>34.335810496999997</v>
      </c>
      <c r="FK118" s="134">
        <v>14.804923363</v>
      </c>
      <c r="FL118" s="134">
        <v>4.4937296795000004</v>
      </c>
      <c r="FM118" s="151">
        <v>7502</v>
      </c>
      <c r="FN118" s="151">
        <v>6375</v>
      </c>
      <c r="FO118" s="7">
        <v>3499</v>
      </c>
      <c r="FP118" s="7">
        <v>257</v>
      </c>
      <c r="FQ118" s="7">
        <v>53</v>
      </c>
      <c r="FR118" s="7">
        <v>34</v>
      </c>
      <c r="FS118" s="7">
        <v>3737</v>
      </c>
      <c r="FT118" s="7">
        <v>21</v>
      </c>
      <c r="FU118" s="7">
        <v>83</v>
      </c>
      <c r="FV118" s="7">
        <v>19</v>
      </c>
      <c r="FW118" s="7">
        <v>8407</v>
      </c>
      <c r="FX118" s="7">
        <v>5817</v>
      </c>
      <c r="FY118" s="7">
        <v>3606</v>
      </c>
      <c r="FZ118" s="7">
        <v>270</v>
      </c>
      <c r="GA118" s="7">
        <v>64</v>
      </c>
      <c r="GB118" s="7">
        <v>31</v>
      </c>
      <c r="GC118" s="7">
        <v>4530</v>
      </c>
      <c r="GD118" s="7">
        <v>33</v>
      </c>
      <c r="GE118" s="7">
        <v>109</v>
      </c>
      <c r="GF118" s="7">
        <v>17</v>
      </c>
      <c r="GG118" s="7">
        <v>894</v>
      </c>
      <c r="GH118" s="7">
        <v>858</v>
      </c>
      <c r="GI118" s="7">
        <v>976</v>
      </c>
      <c r="GJ118" s="7">
        <v>888</v>
      </c>
      <c r="GK118" s="7">
        <v>493</v>
      </c>
      <c r="GL118" s="7">
        <v>408</v>
      </c>
      <c r="GM118" s="7">
        <v>442</v>
      </c>
      <c r="GN118" s="7">
        <v>427</v>
      </c>
      <c r="GO118" s="7">
        <v>407</v>
      </c>
      <c r="GP118" s="7">
        <v>343</v>
      </c>
      <c r="GQ118" s="7">
        <v>285</v>
      </c>
      <c r="GR118" s="7">
        <v>299</v>
      </c>
      <c r="GS118" s="7">
        <v>226</v>
      </c>
      <c r="GT118" s="7">
        <v>171</v>
      </c>
      <c r="GU118" s="7">
        <v>155</v>
      </c>
      <c r="GV118" s="7">
        <v>105</v>
      </c>
      <c r="GW118" s="7">
        <v>65</v>
      </c>
      <c r="GX118" s="7">
        <v>59</v>
      </c>
      <c r="GY118" s="7">
        <v>849</v>
      </c>
      <c r="GZ118" s="7">
        <v>930</v>
      </c>
      <c r="HA118" s="7">
        <v>902</v>
      </c>
      <c r="HB118" s="7">
        <v>985</v>
      </c>
      <c r="HC118" s="7">
        <v>704</v>
      </c>
      <c r="HD118" s="7">
        <v>643</v>
      </c>
      <c r="HE118" s="7">
        <v>613</v>
      </c>
      <c r="HF118" s="7">
        <v>540</v>
      </c>
      <c r="HG118" s="7">
        <v>462</v>
      </c>
      <c r="HH118" s="7">
        <v>411</v>
      </c>
      <c r="HI118" s="7">
        <v>377</v>
      </c>
      <c r="HJ118" s="7">
        <v>294</v>
      </c>
      <c r="HK118" s="7">
        <v>195</v>
      </c>
      <c r="HL118" s="7">
        <v>168</v>
      </c>
      <c r="HM118" s="7">
        <v>156</v>
      </c>
      <c r="HN118" s="7">
        <v>88</v>
      </c>
      <c r="HO118" s="7">
        <v>47</v>
      </c>
      <c r="HP118" s="7">
        <v>38</v>
      </c>
      <c r="HQ118" s="7">
        <v>6462</v>
      </c>
      <c r="HR118" s="7">
        <v>1</v>
      </c>
      <c r="HS118" s="7">
        <v>4</v>
      </c>
      <c r="HT118" s="7">
        <v>1</v>
      </c>
      <c r="HU118" s="7">
        <v>0</v>
      </c>
      <c r="HV118" s="7">
        <v>0</v>
      </c>
      <c r="HW118" s="7">
        <v>0</v>
      </c>
      <c r="HX118" s="7">
        <v>9</v>
      </c>
      <c r="HY118" s="7">
        <v>483</v>
      </c>
      <c r="HZ118" s="7">
        <v>789</v>
      </c>
      <c r="IA118" s="7">
        <v>1081</v>
      </c>
      <c r="IB118" s="7">
        <v>1385</v>
      </c>
      <c r="IC118" s="7">
        <v>1145</v>
      </c>
      <c r="ID118" s="7">
        <v>702</v>
      </c>
      <c r="IE118" s="7">
        <v>395</v>
      </c>
      <c r="IF118" s="7">
        <v>214</v>
      </c>
      <c r="IG118" s="7">
        <v>282</v>
      </c>
      <c r="IH118" s="7">
        <v>1321</v>
      </c>
      <c r="II118" s="7">
        <v>1894</v>
      </c>
      <c r="IJ118" s="7">
        <v>1592</v>
      </c>
      <c r="IK118" s="7">
        <v>1058</v>
      </c>
      <c r="IL118" s="7">
        <v>398</v>
      </c>
      <c r="IM118" s="7">
        <v>128</v>
      </c>
      <c r="IN118" s="7">
        <v>37</v>
      </c>
      <c r="IO118" s="7">
        <v>14</v>
      </c>
      <c r="IP118" s="7">
        <v>9</v>
      </c>
      <c r="IQ118" s="7">
        <v>3692</v>
      </c>
      <c r="IR118" s="7">
        <v>2000</v>
      </c>
      <c r="IS118" s="7">
        <v>624</v>
      </c>
      <c r="IT118" s="7">
        <v>120</v>
      </c>
      <c r="IU118" s="7">
        <v>22</v>
      </c>
      <c r="IV118" s="7">
        <v>2991</v>
      </c>
      <c r="IW118" s="7">
        <v>1185</v>
      </c>
      <c r="IX118" s="7">
        <v>139</v>
      </c>
      <c r="IY118" s="7">
        <v>132</v>
      </c>
      <c r="IZ118" s="7">
        <v>31</v>
      </c>
      <c r="JA118" s="7">
        <v>1979</v>
      </c>
      <c r="JB118" s="7">
        <v>2114</v>
      </c>
      <c r="JC118" s="7">
        <v>2676</v>
      </c>
      <c r="JD118" s="7">
        <v>286</v>
      </c>
      <c r="JE118" s="7">
        <v>546</v>
      </c>
      <c r="JF118" s="151">
        <v>5856.5750257576046</v>
      </c>
      <c r="JG118" s="151">
        <v>602.85225769206329</v>
      </c>
      <c r="JH118" s="7">
        <v>1127</v>
      </c>
      <c r="JI118" s="7">
        <v>5183</v>
      </c>
      <c r="JJ118" s="7">
        <v>140</v>
      </c>
      <c r="JK118" s="7">
        <v>26</v>
      </c>
      <c r="JL118" s="7">
        <v>4004</v>
      </c>
      <c r="JM118" s="7">
        <v>1515</v>
      </c>
      <c r="JN118" s="7">
        <v>735</v>
      </c>
      <c r="JO118" s="7">
        <v>4928</v>
      </c>
      <c r="JP118" s="7">
        <v>5352</v>
      </c>
      <c r="JQ118" s="7">
        <v>286</v>
      </c>
      <c r="JR118" s="7">
        <v>685</v>
      </c>
      <c r="JS118" s="7">
        <v>2737</v>
      </c>
      <c r="JT118" s="7">
        <v>64</v>
      </c>
      <c r="JU118" s="151">
        <v>252.97236777532555</v>
      </c>
      <c r="JV118" s="151">
        <v>5314.2611963866611</v>
      </c>
      <c r="JW118" s="151">
        <v>277.14170227615284</v>
      </c>
      <c r="JX118" s="151">
        <v>12.199759319465199</v>
      </c>
      <c r="JY118" s="7">
        <v>6273</v>
      </c>
      <c r="JZ118" s="7">
        <v>28076</v>
      </c>
      <c r="KA118" s="7">
        <v>6</v>
      </c>
      <c r="KB118" s="7">
        <v>12</v>
      </c>
      <c r="KC118" s="7">
        <v>5</v>
      </c>
      <c r="KD118" s="7">
        <v>0</v>
      </c>
      <c r="KE118" s="7">
        <v>0</v>
      </c>
      <c r="KF118" s="7">
        <v>0</v>
      </c>
      <c r="KG118" s="7">
        <v>38</v>
      </c>
      <c r="KH118" s="7">
        <v>4861</v>
      </c>
      <c r="KI118" s="7">
        <v>22584</v>
      </c>
      <c r="KJ118" s="7">
        <v>570</v>
      </c>
      <c r="KK118" s="7">
        <v>119</v>
      </c>
      <c r="KL118" s="7">
        <v>1099</v>
      </c>
      <c r="KM118" s="7">
        <v>23087</v>
      </c>
      <c r="KN118" s="7">
        <v>1204</v>
      </c>
      <c r="KO118" s="7">
        <v>53</v>
      </c>
      <c r="KP118" s="7">
        <v>25443</v>
      </c>
      <c r="KQ118" s="7">
        <v>2619</v>
      </c>
      <c r="KR118" s="7">
        <v>4144</v>
      </c>
      <c r="KS118" s="7">
        <v>4144</v>
      </c>
      <c r="KT118" s="7">
        <v>733</v>
      </c>
      <c r="KU118" s="7">
        <v>315</v>
      </c>
      <c r="KV118" s="7">
        <v>782</v>
      </c>
      <c r="KW118" s="7">
        <v>0</v>
      </c>
      <c r="KX118" s="7">
        <v>669</v>
      </c>
      <c r="KY118" s="7">
        <v>308</v>
      </c>
      <c r="KZ118" s="7">
        <v>777</v>
      </c>
      <c r="LA118" s="7">
        <v>0</v>
      </c>
      <c r="LB118" s="7">
        <v>2289</v>
      </c>
      <c r="LC118" s="7">
        <v>2224</v>
      </c>
      <c r="LD118" s="7">
        <v>1116</v>
      </c>
      <c r="LE118" s="7">
        <v>1791</v>
      </c>
      <c r="LF118" s="7">
        <v>18714</v>
      </c>
      <c r="LG118" s="7">
        <v>20</v>
      </c>
      <c r="LH118" s="7">
        <v>3805</v>
      </c>
      <c r="LI118" s="7">
        <v>534</v>
      </c>
      <c r="LJ118" s="7">
        <v>1839</v>
      </c>
      <c r="LK118" s="7">
        <v>3</v>
      </c>
      <c r="LL118" s="7">
        <v>1373</v>
      </c>
      <c r="LM118" s="7">
        <v>464</v>
      </c>
      <c r="LN118" s="7">
        <v>27</v>
      </c>
      <c r="LO118" s="7">
        <v>4053</v>
      </c>
      <c r="LP118" s="7">
        <v>508</v>
      </c>
      <c r="LQ118" s="7">
        <v>1863</v>
      </c>
      <c r="LR118" s="7">
        <v>4</v>
      </c>
      <c r="LS118" s="7">
        <v>1285</v>
      </c>
      <c r="LT118" s="7">
        <v>415</v>
      </c>
      <c r="LU118" s="232">
        <v>6.2838671602999998</v>
      </c>
      <c r="LV118" s="232">
        <v>6.5383165132999999</v>
      </c>
      <c r="LW118" s="232">
        <v>6.0454167532999996</v>
      </c>
      <c r="LX118" s="7">
        <v>6476</v>
      </c>
      <c r="LY118" s="7">
        <v>28134</v>
      </c>
    </row>
    <row r="119" spans="1:337" x14ac:dyDescent="0.25">
      <c r="A119" t="s">
        <v>242</v>
      </c>
      <c r="B119" t="s">
        <v>243</v>
      </c>
      <c r="C119" s="7">
        <v>11925</v>
      </c>
      <c r="D119">
        <v>14009</v>
      </c>
      <c r="F119">
        <f t="shared" si="6"/>
        <v>-14009</v>
      </c>
      <c r="G119">
        <f t="shared" si="7"/>
        <v>-100</v>
      </c>
      <c r="H119">
        <v>6884</v>
      </c>
      <c r="I119">
        <v>7125</v>
      </c>
      <c r="J119">
        <v>7716</v>
      </c>
      <c r="K119">
        <v>6293</v>
      </c>
      <c r="L119" s="7">
        <v>701</v>
      </c>
      <c r="M119" s="7">
        <v>711</v>
      </c>
      <c r="N119" s="7">
        <v>666</v>
      </c>
      <c r="O119" s="7">
        <v>724</v>
      </c>
      <c r="P119" s="7">
        <v>606</v>
      </c>
      <c r="Q119" s="7">
        <v>594</v>
      </c>
      <c r="R119" s="7">
        <v>501</v>
      </c>
      <c r="S119" s="7">
        <v>496</v>
      </c>
      <c r="T119" s="7">
        <v>353</v>
      </c>
      <c r="U119" s="7">
        <v>299</v>
      </c>
      <c r="V119" s="7">
        <v>276</v>
      </c>
      <c r="W119" s="7">
        <v>213</v>
      </c>
      <c r="X119" s="7">
        <v>209</v>
      </c>
      <c r="Y119" s="7">
        <v>493</v>
      </c>
      <c r="Z119" s="7">
        <v>42</v>
      </c>
      <c r="AA119" s="7">
        <v>701</v>
      </c>
      <c r="AB119" s="7">
        <v>672</v>
      </c>
      <c r="AC119" s="7">
        <v>680</v>
      </c>
      <c r="AD119" s="7">
        <v>749</v>
      </c>
      <c r="AE119" s="7">
        <v>708</v>
      </c>
      <c r="AF119" s="7">
        <v>646</v>
      </c>
      <c r="AG119" s="7">
        <v>576</v>
      </c>
      <c r="AH119" s="7">
        <v>486</v>
      </c>
      <c r="AI119" s="7">
        <v>378</v>
      </c>
      <c r="AJ119" s="7">
        <v>353</v>
      </c>
      <c r="AK119" s="7">
        <v>275</v>
      </c>
      <c r="AL119" s="7">
        <v>237</v>
      </c>
      <c r="AM119" s="7">
        <v>168</v>
      </c>
      <c r="AN119" s="7">
        <v>453</v>
      </c>
      <c r="AO119" s="7">
        <v>43</v>
      </c>
      <c r="AP119">
        <v>13779</v>
      </c>
      <c r="AQ119">
        <v>67</v>
      </c>
      <c r="AR119">
        <v>10</v>
      </c>
      <c r="AS119">
        <v>22</v>
      </c>
      <c r="AT119">
        <v>131</v>
      </c>
      <c r="AU119" s="7">
        <v>195</v>
      </c>
      <c r="AV119" s="7">
        <v>101</v>
      </c>
      <c r="AW119" s="7">
        <v>94</v>
      </c>
      <c r="AX119" s="7">
        <v>134</v>
      </c>
      <c r="AY119" s="7">
        <v>195</v>
      </c>
      <c r="AZ119" s="7">
        <v>170</v>
      </c>
      <c r="BA119" s="7">
        <v>25</v>
      </c>
      <c r="BB119" s="7">
        <v>5</v>
      </c>
      <c r="BC119" s="7">
        <v>2</v>
      </c>
      <c r="BD119" s="7">
        <v>18</v>
      </c>
      <c r="BE119" s="7">
        <v>4</v>
      </c>
      <c r="BF119" s="7">
        <v>16</v>
      </c>
      <c r="BG119" s="7">
        <v>17</v>
      </c>
      <c r="BH119" s="7">
        <v>7</v>
      </c>
      <c r="BI119" s="7">
        <v>18</v>
      </c>
      <c r="BJ119" s="7">
        <v>15</v>
      </c>
      <c r="BK119" s="7">
        <v>13</v>
      </c>
      <c r="BL119" s="7">
        <v>6</v>
      </c>
      <c r="BM119" s="7">
        <v>9</v>
      </c>
      <c r="BN119" s="7">
        <v>5</v>
      </c>
      <c r="BO119" s="7">
        <v>7</v>
      </c>
      <c r="BP119" s="7">
        <v>4</v>
      </c>
      <c r="BQ119" s="7">
        <v>6</v>
      </c>
      <c r="BR119" s="7">
        <v>5</v>
      </c>
      <c r="BS119" s="7">
        <v>6</v>
      </c>
      <c r="BT119" s="7">
        <v>4</v>
      </c>
      <c r="BU119" s="7">
        <v>5</v>
      </c>
      <c r="BV119" s="7">
        <v>7</v>
      </c>
      <c r="BW119" s="7">
        <v>2</v>
      </c>
      <c r="BX119" s="7">
        <v>1</v>
      </c>
      <c r="BY119" s="7">
        <v>4</v>
      </c>
      <c r="BZ119" s="7">
        <v>4</v>
      </c>
      <c r="CA119" s="7">
        <v>1</v>
      </c>
      <c r="CB119" s="7">
        <v>4</v>
      </c>
      <c r="CC119" s="7">
        <v>0</v>
      </c>
      <c r="CD119" s="7">
        <v>73</v>
      </c>
      <c r="CE119" s="7">
        <v>72</v>
      </c>
      <c r="CF119" s="7">
        <v>22</v>
      </c>
      <c r="CG119" s="7">
        <v>19</v>
      </c>
      <c r="CH119" s="7">
        <v>3078</v>
      </c>
      <c r="CI119" s="7">
        <v>555</v>
      </c>
      <c r="CJ119" s="7">
        <v>12240</v>
      </c>
      <c r="CK119" s="7">
        <v>1691</v>
      </c>
      <c r="CL119" s="7">
        <v>227</v>
      </c>
      <c r="CM119" s="7">
        <v>564</v>
      </c>
      <c r="CN119" s="7">
        <v>788</v>
      </c>
      <c r="CO119" s="7">
        <v>914</v>
      </c>
      <c r="CP119" s="7">
        <v>639</v>
      </c>
      <c r="CQ119" s="7">
        <v>501</v>
      </c>
      <c r="CR119" s="7">
        <v>2863</v>
      </c>
      <c r="CS119" s="7">
        <v>6089</v>
      </c>
      <c r="CT119" s="7">
        <v>588</v>
      </c>
      <c r="CU119" s="7">
        <v>252</v>
      </c>
      <c r="CV119" s="7">
        <v>156</v>
      </c>
      <c r="CW119" s="7">
        <v>277</v>
      </c>
      <c r="CX119" s="7">
        <v>20</v>
      </c>
      <c r="CY119" s="7">
        <v>9910</v>
      </c>
      <c r="CZ119" s="7">
        <v>3472</v>
      </c>
      <c r="DA119" s="7">
        <v>96</v>
      </c>
      <c r="DB119" s="7">
        <v>227</v>
      </c>
      <c r="DC119" s="7">
        <v>2</v>
      </c>
      <c r="DD119" s="7">
        <v>1941</v>
      </c>
      <c r="DE119" s="7">
        <v>1637</v>
      </c>
      <c r="DF119" s="7">
        <v>2715</v>
      </c>
      <c r="DG119" s="7">
        <v>2604</v>
      </c>
      <c r="DH119" s="7">
        <v>5112</v>
      </c>
      <c r="DI119" s="7">
        <v>0</v>
      </c>
      <c r="DJ119" s="7">
        <v>0</v>
      </c>
      <c r="DK119" s="7">
        <v>0</v>
      </c>
      <c r="DL119" s="7">
        <v>69</v>
      </c>
      <c r="DM119" s="7">
        <v>4</v>
      </c>
      <c r="DN119" s="7">
        <v>3</v>
      </c>
      <c r="DO119" s="7">
        <v>1</v>
      </c>
      <c r="DP119" s="7">
        <v>1</v>
      </c>
      <c r="DQ119" s="7">
        <v>0</v>
      </c>
      <c r="DR119" s="7">
        <v>0</v>
      </c>
      <c r="DS119" s="7">
        <v>0</v>
      </c>
      <c r="DT119" s="7">
        <v>181</v>
      </c>
      <c r="DU119" s="7">
        <v>179</v>
      </c>
      <c r="DV119" s="7">
        <v>125</v>
      </c>
      <c r="DW119" s="7">
        <v>163</v>
      </c>
      <c r="DX119" s="7">
        <v>83</v>
      </c>
      <c r="DY119" s="7">
        <v>64</v>
      </c>
      <c r="DZ119" s="7">
        <v>50</v>
      </c>
      <c r="EA119" s="7">
        <v>42</v>
      </c>
      <c r="EB119" s="7">
        <v>27</v>
      </c>
      <c r="EC119" s="7">
        <v>32</v>
      </c>
      <c r="ED119" s="7">
        <v>23</v>
      </c>
      <c r="EE119" s="7">
        <v>24</v>
      </c>
      <c r="EF119" s="7">
        <v>27</v>
      </c>
      <c r="EG119" s="7">
        <v>32</v>
      </c>
      <c r="EH119" s="7">
        <v>294</v>
      </c>
      <c r="EI119" s="7">
        <v>240</v>
      </c>
      <c r="EJ119" s="7">
        <v>123</v>
      </c>
      <c r="EK119" s="7">
        <v>69</v>
      </c>
      <c r="EL119" s="7">
        <v>44</v>
      </c>
      <c r="EM119" s="7">
        <v>41</v>
      </c>
      <c r="EN119" s="7">
        <v>38</v>
      </c>
      <c r="EO119" s="7">
        <v>4244</v>
      </c>
      <c r="EP119" s="7">
        <v>4164</v>
      </c>
      <c r="EQ119" s="7">
        <v>80</v>
      </c>
      <c r="ER119" s="7">
        <v>882</v>
      </c>
      <c r="ES119" s="7">
        <v>944</v>
      </c>
      <c r="ET119" s="7">
        <v>943</v>
      </c>
      <c r="EU119" s="7">
        <v>1</v>
      </c>
      <c r="EV119" s="7">
        <v>4468</v>
      </c>
      <c r="EW119" s="134">
        <v>63.619364222000002</v>
      </c>
      <c r="EX119" s="134">
        <v>13.525867441999999</v>
      </c>
      <c r="EY119" s="134">
        <v>8.8302514025000001</v>
      </c>
      <c r="EZ119" s="134">
        <v>13.941408685000001</v>
      </c>
      <c r="FA119" s="134">
        <v>8.3108248499999995E-2</v>
      </c>
      <c r="FB119" s="7">
        <v>973</v>
      </c>
      <c r="FC119" s="7">
        <v>2636</v>
      </c>
      <c r="FD119" s="7">
        <v>181</v>
      </c>
      <c r="FE119" s="7">
        <v>885</v>
      </c>
      <c r="FF119" s="7">
        <v>0</v>
      </c>
      <c r="FG119" s="7">
        <v>342</v>
      </c>
      <c r="FH119" s="7">
        <v>154</v>
      </c>
      <c r="FI119" s="134">
        <v>59.837938915000002</v>
      </c>
      <c r="FJ119" s="134">
        <v>29.046332848999999</v>
      </c>
      <c r="FK119" s="134">
        <v>8.5809266569999991</v>
      </c>
      <c r="FL119" s="134">
        <v>2.5348015790999998</v>
      </c>
      <c r="FM119" s="151">
        <v>4728</v>
      </c>
      <c r="FN119" s="151">
        <v>2103</v>
      </c>
      <c r="FO119" s="7">
        <v>848</v>
      </c>
      <c r="FP119" s="7">
        <v>59</v>
      </c>
      <c r="FQ119" s="7">
        <v>21</v>
      </c>
      <c r="FR119" s="7">
        <v>2</v>
      </c>
      <c r="FS119" s="7">
        <v>3796</v>
      </c>
      <c r="FT119" s="7">
        <v>2</v>
      </c>
      <c r="FU119" s="7">
        <v>113</v>
      </c>
      <c r="FV119" s="7">
        <v>53</v>
      </c>
      <c r="FW119" s="7">
        <v>5248</v>
      </c>
      <c r="FX119" s="7">
        <v>1825</v>
      </c>
      <c r="FY119" s="7">
        <v>814</v>
      </c>
      <c r="FZ119" s="7">
        <v>55</v>
      </c>
      <c r="GA119" s="7">
        <v>26</v>
      </c>
      <c r="GB119" s="7">
        <v>0</v>
      </c>
      <c r="GC119" s="7">
        <v>4377</v>
      </c>
      <c r="GD119" s="7">
        <v>4</v>
      </c>
      <c r="GE119" s="7">
        <v>98</v>
      </c>
      <c r="GF119" s="7">
        <v>52</v>
      </c>
      <c r="GG119" s="7">
        <v>525</v>
      </c>
      <c r="GH119" s="7">
        <v>544</v>
      </c>
      <c r="GI119" s="7">
        <v>488</v>
      </c>
      <c r="GJ119" s="7">
        <v>418</v>
      </c>
      <c r="GK119" s="7">
        <v>322</v>
      </c>
      <c r="GL119" s="7">
        <v>385</v>
      </c>
      <c r="GM119" s="7">
        <v>371</v>
      </c>
      <c r="GN119" s="7">
        <v>355</v>
      </c>
      <c r="GO119" s="7">
        <v>257</v>
      </c>
      <c r="GP119" s="7">
        <v>206</v>
      </c>
      <c r="GQ119" s="7">
        <v>197</v>
      </c>
      <c r="GR119" s="7">
        <v>151</v>
      </c>
      <c r="GS119" s="7">
        <v>148</v>
      </c>
      <c r="GT119" s="7">
        <v>100</v>
      </c>
      <c r="GU119" s="7">
        <v>90</v>
      </c>
      <c r="GV119" s="7">
        <v>80</v>
      </c>
      <c r="GW119" s="7">
        <v>49</v>
      </c>
      <c r="GX119" s="7">
        <v>40</v>
      </c>
      <c r="GY119" s="7">
        <v>523</v>
      </c>
      <c r="GZ119" s="7">
        <v>496</v>
      </c>
      <c r="HA119" s="7">
        <v>509</v>
      </c>
      <c r="HB119" s="7">
        <v>503</v>
      </c>
      <c r="HC119" s="7">
        <v>477</v>
      </c>
      <c r="HD119" s="7">
        <v>490</v>
      </c>
      <c r="HE119" s="7">
        <v>447</v>
      </c>
      <c r="HF119" s="7">
        <v>366</v>
      </c>
      <c r="HG119" s="7">
        <v>287</v>
      </c>
      <c r="HH119" s="7">
        <v>270</v>
      </c>
      <c r="HI119" s="7">
        <v>205</v>
      </c>
      <c r="HJ119" s="7">
        <v>188</v>
      </c>
      <c r="HK119" s="7">
        <v>134</v>
      </c>
      <c r="HL119" s="7">
        <v>114</v>
      </c>
      <c r="HM119" s="7">
        <v>103</v>
      </c>
      <c r="HN119" s="7">
        <v>66</v>
      </c>
      <c r="HO119" s="7">
        <v>31</v>
      </c>
      <c r="HP119" s="7">
        <v>37</v>
      </c>
      <c r="HQ119" s="7">
        <v>3602</v>
      </c>
      <c r="HR119" s="7">
        <v>1</v>
      </c>
      <c r="HS119" s="7">
        <v>0</v>
      </c>
      <c r="HT119" s="7">
        <v>0</v>
      </c>
      <c r="HU119" s="7">
        <v>0</v>
      </c>
      <c r="HV119" s="7">
        <v>0</v>
      </c>
      <c r="HW119" s="7">
        <v>0</v>
      </c>
      <c r="HX119" s="7">
        <v>56</v>
      </c>
      <c r="HY119" s="7">
        <v>227</v>
      </c>
      <c r="HZ119" s="7">
        <v>564</v>
      </c>
      <c r="IA119" s="7">
        <v>788</v>
      </c>
      <c r="IB119" s="7">
        <v>914</v>
      </c>
      <c r="IC119" s="7">
        <v>639</v>
      </c>
      <c r="ID119" s="7">
        <v>294</v>
      </c>
      <c r="IE119" s="7">
        <v>116</v>
      </c>
      <c r="IF119" s="7">
        <v>57</v>
      </c>
      <c r="IG119" s="7">
        <v>34</v>
      </c>
      <c r="IH119" s="7">
        <v>190</v>
      </c>
      <c r="II119" s="7">
        <v>745</v>
      </c>
      <c r="IJ119" s="7">
        <v>1152</v>
      </c>
      <c r="IK119" s="7">
        <v>970</v>
      </c>
      <c r="IL119" s="7">
        <v>361</v>
      </c>
      <c r="IM119" s="7">
        <v>160</v>
      </c>
      <c r="IN119" s="7">
        <v>31</v>
      </c>
      <c r="IO119" s="7">
        <v>8</v>
      </c>
      <c r="IP119" s="7">
        <v>6</v>
      </c>
      <c r="IQ119" s="7">
        <v>1848</v>
      </c>
      <c r="IR119" s="7">
        <v>1329</v>
      </c>
      <c r="IS119" s="7">
        <v>377</v>
      </c>
      <c r="IT119" s="7">
        <v>67</v>
      </c>
      <c r="IU119" s="7">
        <v>7</v>
      </c>
      <c r="IV119" s="7">
        <v>589</v>
      </c>
      <c r="IW119" s="7">
        <v>2460</v>
      </c>
      <c r="IX119" s="7">
        <v>2</v>
      </c>
      <c r="IY119" s="7">
        <v>112</v>
      </c>
      <c r="IZ119" s="7">
        <v>5</v>
      </c>
      <c r="JA119" s="7">
        <v>450</v>
      </c>
      <c r="JB119" s="7">
        <v>43</v>
      </c>
      <c r="JC119" s="7">
        <v>2825</v>
      </c>
      <c r="JD119" s="7">
        <v>1</v>
      </c>
      <c r="JE119" s="7">
        <v>2</v>
      </c>
      <c r="JF119" s="151">
        <v>3438.7149335049648</v>
      </c>
      <c r="JG119" s="151">
        <v>189.06934072433637</v>
      </c>
      <c r="JH119" s="7">
        <v>246</v>
      </c>
      <c r="JI119" s="7">
        <v>3212</v>
      </c>
      <c r="JJ119" s="7">
        <v>162</v>
      </c>
      <c r="JK119" s="7">
        <v>13</v>
      </c>
      <c r="JL119" s="7">
        <v>2190</v>
      </c>
      <c r="JM119" s="7">
        <v>1602</v>
      </c>
      <c r="JN119" s="7">
        <v>738</v>
      </c>
      <c r="JO119" s="7">
        <v>2826</v>
      </c>
      <c r="JP119" s="7">
        <v>3130</v>
      </c>
      <c r="JQ119" s="7">
        <v>159</v>
      </c>
      <c r="JR119" s="7">
        <v>626</v>
      </c>
      <c r="JS119" s="7">
        <v>1264</v>
      </c>
      <c r="JT119" s="7">
        <v>46</v>
      </c>
      <c r="JU119" s="151">
        <v>475.67238273267526</v>
      </c>
      <c r="JV119" s="151">
        <v>2601.5941283668685</v>
      </c>
      <c r="JW119" s="151">
        <v>249.83231505367482</v>
      </c>
      <c r="JX119" s="151">
        <v>111.61610735174617</v>
      </c>
      <c r="JY119" s="7">
        <v>3547</v>
      </c>
      <c r="JZ119" s="7">
        <v>13812</v>
      </c>
      <c r="KA119" s="7">
        <v>6</v>
      </c>
      <c r="KB119" s="7">
        <v>0</v>
      </c>
      <c r="KC119" s="7">
        <v>0</v>
      </c>
      <c r="KD119" s="7">
        <v>0</v>
      </c>
      <c r="KE119" s="7">
        <v>0</v>
      </c>
      <c r="KF119" s="7">
        <v>0</v>
      </c>
      <c r="KG119" s="7">
        <v>191</v>
      </c>
      <c r="KH119" s="7">
        <v>918</v>
      </c>
      <c r="KI119" s="7">
        <v>12355</v>
      </c>
      <c r="KJ119" s="7">
        <v>609</v>
      </c>
      <c r="KK119" s="7">
        <v>49</v>
      </c>
      <c r="KL119" s="7">
        <v>1824</v>
      </c>
      <c r="KM119" s="7">
        <v>9976</v>
      </c>
      <c r="KN119" s="7">
        <v>958</v>
      </c>
      <c r="KO119" s="7">
        <v>428</v>
      </c>
      <c r="KP119" s="7">
        <v>13186</v>
      </c>
      <c r="KQ119" s="7">
        <v>725</v>
      </c>
      <c r="KR119" s="7">
        <v>1710</v>
      </c>
      <c r="KS119" s="7">
        <v>1710</v>
      </c>
      <c r="KT119" s="7">
        <v>395</v>
      </c>
      <c r="KU119" s="7">
        <v>126</v>
      </c>
      <c r="KV119" s="7">
        <v>281</v>
      </c>
      <c r="KW119" s="7">
        <v>0</v>
      </c>
      <c r="KX119" s="7">
        <v>346</v>
      </c>
      <c r="KY119" s="7">
        <v>104</v>
      </c>
      <c r="KZ119" s="7">
        <v>283</v>
      </c>
      <c r="LA119" s="7">
        <v>0</v>
      </c>
      <c r="LB119" s="7">
        <v>932</v>
      </c>
      <c r="LC119" s="7">
        <v>964</v>
      </c>
      <c r="LD119" s="7">
        <v>1031</v>
      </c>
      <c r="LE119" s="7">
        <v>1399</v>
      </c>
      <c r="LF119" s="7">
        <v>9793</v>
      </c>
      <c r="LG119" s="7">
        <v>19</v>
      </c>
      <c r="LH119" s="7">
        <v>2223</v>
      </c>
      <c r="LI119" s="7">
        <v>245</v>
      </c>
      <c r="LJ119" s="7">
        <v>803</v>
      </c>
      <c r="LK119" s="7">
        <v>0</v>
      </c>
      <c r="LL119" s="7">
        <v>350</v>
      </c>
      <c r="LM119" s="7">
        <v>141</v>
      </c>
      <c r="LN119" s="7">
        <v>15</v>
      </c>
      <c r="LO119" s="7">
        <v>2457</v>
      </c>
      <c r="LP119" s="7">
        <v>201</v>
      </c>
      <c r="LQ119" s="7">
        <v>766</v>
      </c>
      <c r="LR119" s="7">
        <v>0</v>
      </c>
      <c r="LS119" s="7">
        <v>276</v>
      </c>
      <c r="LT119" s="7">
        <v>92</v>
      </c>
      <c r="LU119" s="232">
        <v>4.9313634965000004</v>
      </c>
      <c r="LV119" s="232">
        <v>5.1823554241999998</v>
      </c>
      <c r="LW119" s="232">
        <v>4.6939508883999999</v>
      </c>
      <c r="LX119" s="7">
        <v>3633</v>
      </c>
      <c r="LY119" s="7">
        <v>13931</v>
      </c>
    </row>
    <row r="120" spans="1:337" x14ac:dyDescent="0.25">
      <c r="A120" t="s">
        <v>244</v>
      </c>
      <c r="B120" t="s">
        <v>245</v>
      </c>
      <c r="C120" s="7">
        <v>13934</v>
      </c>
      <c r="D120">
        <v>14089</v>
      </c>
      <c r="F120">
        <f t="shared" si="6"/>
        <v>-14089</v>
      </c>
      <c r="G120">
        <f t="shared" si="7"/>
        <v>-100</v>
      </c>
      <c r="H120">
        <v>6883</v>
      </c>
      <c r="I120">
        <v>7206</v>
      </c>
      <c r="J120">
        <v>6431</v>
      </c>
      <c r="K120">
        <v>7658</v>
      </c>
      <c r="L120" s="7">
        <v>740</v>
      </c>
      <c r="M120" s="7">
        <v>788</v>
      </c>
      <c r="N120" s="7">
        <v>739</v>
      </c>
      <c r="O120" s="7">
        <v>779</v>
      </c>
      <c r="P120" s="7">
        <v>543</v>
      </c>
      <c r="Q120" s="7">
        <v>445</v>
      </c>
      <c r="R120" s="7">
        <v>445</v>
      </c>
      <c r="S120" s="7">
        <v>418</v>
      </c>
      <c r="T120" s="7">
        <v>355</v>
      </c>
      <c r="U120" s="7">
        <v>335</v>
      </c>
      <c r="V120" s="7">
        <v>291</v>
      </c>
      <c r="W120" s="7">
        <v>230</v>
      </c>
      <c r="X120" s="7">
        <v>199</v>
      </c>
      <c r="Y120" s="7">
        <v>570</v>
      </c>
      <c r="Z120" s="7">
        <v>6</v>
      </c>
      <c r="AA120" s="7">
        <v>655</v>
      </c>
      <c r="AB120" s="7">
        <v>729</v>
      </c>
      <c r="AC120" s="7">
        <v>755</v>
      </c>
      <c r="AD120" s="7">
        <v>754</v>
      </c>
      <c r="AE120" s="7">
        <v>656</v>
      </c>
      <c r="AF120" s="7">
        <v>554</v>
      </c>
      <c r="AG120" s="7">
        <v>507</v>
      </c>
      <c r="AH120" s="7">
        <v>507</v>
      </c>
      <c r="AI120" s="7">
        <v>356</v>
      </c>
      <c r="AJ120" s="7">
        <v>324</v>
      </c>
      <c r="AK120" s="7">
        <v>335</v>
      </c>
      <c r="AL120" s="7">
        <v>251</v>
      </c>
      <c r="AM120" s="7">
        <v>203</v>
      </c>
      <c r="AN120" s="7">
        <v>610</v>
      </c>
      <c r="AO120" s="7">
        <v>10</v>
      </c>
      <c r="AP120">
        <v>13497</v>
      </c>
      <c r="AQ120">
        <v>371</v>
      </c>
      <c r="AR120">
        <v>31</v>
      </c>
      <c r="AS120">
        <v>168</v>
      </c>
      <c r="AT120">
        <v>22</v>
      </c>
      <c r="AU120" s="7">
        <v>144</v>
      </c>
      <c r="AV120" s="7">
        <v>81</v>
      </c>
      <c r="AW120" s="7">
        <v>63</v>
      </c>
      <c r="AX120" s="7">
        <v>234</v>
      </c>
      <c r="AY120" s="7">
        <v>144</v>
      </c>
      <c r="AZ120" s="7">
        <v>81</v>
      </c>
      <c r="BA120" s="7">
        <v>63</v>
      </c>
      <c r="BB120" s="7">
        <v>5</v>
      </c>
      <c r="BC120" s="7">
        <v>0</v>
      </c>
      <c r="BD120" s="7">
        <v>3</v>
      </c>
      <c r="BE120" s="7">
        <v>1</v>
      </c>
      <c r="BF120" s="7">
        <v>10</v>
      </c>
      <c r="BG120" s="7">
        <v>0</v>
      </c>
      <c r="BH120" s="7">
        <v>2</v>
      </c>
      <c r="BI120" s="7">
        <v>4</v>
      </c>
      <c r="BJ120" s="7">
        <v>0</v>
      </c>
      <c r="BK120" s="7">
        <v>6</v>
      </c>
      <c r="BL120" s="7">
        <v>2</v>
      </c>
      <c r="BM120" s="7">
        <v>3</v>
      </c>
      <c r="BN120" s="7">
        <v>2</v>
      </c>
      <c r="BO120" s="7">
        <v>1</v>
      </c>
      <c r="BP120" s="7">
        <v>5</v>
      </c>
      <c r="BQ120" s="7">
        <v>6</v>
      </c>
      <c r="BR120" s="7">
        <v>2</v>
      </c>
      <c r="BS120" s="7">
        <v>2</v>
      </c>
      <c r="BT120" s="7">
        <v>5</v>
      </c>
      <c r="BU120" s="7">
        <v>5</v>
      </c>
      <c r="BV120" s="7">
        <v>4</v>
      </c>
      <c r="BW120" s="7">
        <v>2</v>
      </c>
      <c r="BX120" s="7">
        <v>6</v>
      </c>
      <c r="BY120" s="7">
        <v>4</v>
      </c>
      <c r="BZ120" s="7">
        <v>7</v>
      </c>
      <c r="CA120" s="7">
        <v>5</v>
      </c>
      <c r="CB120" s="7">
        <v>33</v>
      </c>
      <c r="CC120" s="7">
        <v>24</v>
      </c>
      <c r="CD120" s="7">
        <v>78</v>
      </c>
      <c r="CE120" s="7">
        <v>58</v>
      </c>
      <c r="CF120" s="7">
        <v>0</v>
      </c>
      <c r="CG120" s="7">
        <v>1</v>
      </c>
      <c r="CH120" s="7">
        <v>2374</v>
      </c>
      <c r="CI120" s="7">
        <v>841</v>
      </c>
      <c r="CJ120" s="7">
        <v>10810</v>
      </c>
      <c r="CK120" s="7">
        <v>3276</v>
      </c>
      <c r="CL120" s="7">
        <v>286</v>
      </c>
      <c r="CM120" s="7">
        <v>368</v>
      </c>
      <c r="CN120" s="7">
        <v>510</v>
      </c>
      <c r="CO120" s="7">
        <v>672</v>
      </c>
      <c r="CP120" s="7">
        <v>543</v>
      </c>
      <c r="CQ120" s="7">
        <v>836</v>
      </c>
      <c r="CR120" s="7">
        <v>2083</v>
      </c>
      <c r="CS120" s="7">
        <v>6095</v>
      </c>
      <c r="CT120" s="7">
        <v>1555</v>
      </c>
      <c r="CU120" s="7">
        <v>409</v>
      </c>
      <c r="CV120" s="7">
        <v>145</v>
      </c>
      <c r="CW120" s="7">
        <v>508</v>
      </c>
      <c r="CX120" s="7">
        <v>49</v>
      </c>
      <c r="CY120" s="7">
        <v>7083</v>
      </c>
      <c r="CZ120" s="7">
        <v>6340</v>
      </c>
      <c r="DA120" s="7">
        <v>207</v>
      </c>
      <c r="DB120" s="7">
        <v>286</v>
      </c>
      <c r="DC120" s="7">
        <v>15</v>
      </c>
      <c r="DD120" s="7">
        <v>1439</v>
      </c>
      <c r="DE120" s="7">
        <v>2007</v>
      </c>
      <c r="DF120" s="7">
        <v>4212</v>
      </c>
      <c r="DG120" s="7">
        <v>6431</v>
      </c>
      <c r="DH120" s="7">
        <v>0</v>
      </c>
      <c r="DI120" s="7">
        <v>0</v>
      </c>
      <c r="DJ120" s="7">
        <v>0</v>
      </c>
      <c r="DK120" s="7">
        <v>0</v>
      </c>
      <c r="DL120" s="7">
        <v>24</v>
      </c>
      <c r="DM120" s="7">
        <v>6</v>
      </c>
      <c r="DN120" s="7">
        <v>5</v>
      </c>
      <c r="DO120" s="7">
        <v>2</v>
      </c>
      <c r="DP120" s="7">
        <v>0</v>
      </c>
      <c r="DQ120" s="7">
        <v>0</v>
      </c>
      <c r="DR120" s="7">
        <v>0</v>
      </c>
      <c r="DS120" s="7">
        <v>0</v>
      </c>
      <c r="DT120" s="7">
        <v>109</v>
      </c>
      <c r="DU120" s="7">
        <v>115</v>
      </c>
      <c r="DV120" s="7">
        <v>90</v>
      </c>
      <c r="DW120" s="7">
        <v>87</v>
      </c>
      <c r="DX120" s="7">
        <v>46</v>
      </c>
      <c r="DY120" s="7">
        <v>50</v>
      </c>
      <c r="DZ120" s="7">
        <v>42</v>
      </c>
      <c r="EA120" s="7">
        <v>37</v>
      </c>
      <c r="EB120" s="7">
        <v>11</v>
      </c>
      <c r="EC120" s="7">
        <v>9</v>
      </c>
      <c r="ED120" s="7">
        <v>3</v>
      </c>
      <c r="EE120" s="7">
        <v>3</v>
      </c>
      <c r="EF120" s="7">
        <v>29</v>
      </c>
      <c r="EG120" s="7">
        <v>16</v>
      </c>
      <c r="EH120" s="7">
        <v>153</v>
      </c>
      <c r="EI120" s="7">
        <v>123</v>
      </c>
      <c r="EJ120" s="7">
        <v>77</v>
      </c>
      <c r="EK120" s="7">
        <v>46</v>
      </c>
      <c r="EL120" s="7">
        <v>16</v>
      </c>
      <c r="EM120" s="7">
        <v>4</v>
      </c>
      <c r="EN120" s="7">
        <v>23</v>
      </c>
      <c r="EO120" s="7">
        <v>3569</v>
      </c>
      <c r="EP120" s="7">
        <v>3437</v>
      </c>
      <c r="EQ120" s="7">
        <v>132</v>
      </c>
      <c r="ER120" s="7">
        <v>1461</v>
      </c>
      <c r="ES120" s="7">
        <v>687</v>
      </c>
      <c r="ET120" s="7">
        <v>666</v>
      </c>
      <c r="EU120" s="7">
        <v>21</v>
      </c>
      <c r="EV120" s="7">
        <v>4814</v>
      </c>
      <c r="EW120" s="134">
        <v>43.90365036</v>
      </c>
      <c r="EX120" s="134">
        <v>14.725602185</v>
      </c>
      <c r="EY120" s="134">
        <v>10.578594487</v>
      </c>
      <c r="EZ120" s="134">
        <v>30.419667245999999</v>
      </c>
      <c r="FA120" s="134">
        <v>0.37248572140000002</v>
      </c>
      <c r="FB120" s="7">
        <v>475</v>
      </c>
      <c r="FC120" s="7">
        <v>1579</v>
      </c>
      <c r="FD120" s="7">
        <v>110</v>
      </c>
      <c r="FE120" s="7">
        <v>939</v>
      </c>
      <c r="FF120" s="7">
        <v>4</v>
      </c>
      <c r="FG120" s="7">
        <v>728</v>
      </c>
      <c r="FH120" s="7">
        <v>409</v>
      </c>
      <c r="FI120" s="134">
        <v>50.012416191</v>
      </c>
      <c r="FJ120" s="134">
        <v>27.861931959</v>
      </c>
      <c r="FK120" s="134">
        <v>17.184007946000001</v>
      </c>
      <c r="FL120" s="134">
        <v>4.9416439037000002</v>
      </c>
      <c r="FM120" s="151">
        <v>4022</v>
      </c>
      <c r="FN120" s="151">
        <v>2856</v>
      </c>
      <c r="FO120" s="7">
        <v>897</v>
      </c>
      <c r="FP120" s="7">
        <v>293</v>
      </c>
      <c r="FQ120" s="7">
        <v>20</v>
      </c>
      <c r="FR120" s="7">
        <v>68</v>
      </c>
      <c r="FS120" s="7">
        <v>2620</v>
      </c>
      <c r="FT120" s="7">
        <v>25</v>
      </c>
      <c r="FU120" s="7">
        <v>104</v>
      </c>
      <c r="FV120" s="7">
        <v>5</v>
      </c>
      <c r="FW120" s="7">
        <v>4707</v>
      </c>
      <c r="FX120" s="7">
        <v>2494</v>
      </c>
      <c r="FY120" s="7">
        <v>1042</v>
      </c>
      <c r="FZ120" s="7">
        <v>311</v>
      </c>
      <c r="GA120" s="7">
        <v>21</v>
      </c>
      <c r="GB120" s="7">
        <v>65</v>
      </c>
      <c r="GC120" s="7">
        <v>3166</v>
      </c>
      <c r="GD120" s="7">
        <v>35</v>
      </c>
      <c r="GE120" s="7">
        <v>77</v>
      </c>
      <c r="GF120" s="7">
        <v>5</v>
      </c>
      <c r="GG120" s="7">
        <v>435</v>
      </c>
      <c r="GH120" s="7">
        <v>476</v>
      </c>
      <c r="GI120" s="7">
        <v>476</v>
      </c>
      <c r="GJ120" s="7">
        <v>479</v>
      </c>
      <c r="GK120" s="7">
        <v>247</v>
      </c>
      <c r="GL120" s="7">
        <v>203</v>
      </c>
      <c r="GM120" s="7">
        <v>236</v>
      </c>
      <c r="GN120" s="7">
        <v>239</v>
      </c>
      <c r="GO120" s="7">
        <v>197</v>
      </c>
      <c r="GP120" s="7">
        <v>205</v>
      </c>
      <c r="GQ120" s="7">
        <v>164</v>
      </c>
      <c r="GR120" s="7">
        <v>133</v>
      </c>
      <c r="GS120" s="7">
        <v>121</v>
      </c>
      <c r="GT120" s="7">
        <v>112</v>
      </c>
      <c r="GU120" s="7">
        <v>123</v>
      </c>
      <c r="GV120" s="7">
        <v>84</v>
      </c>
      <c r="GW120" s="7">
        <v>49</v>
      </c>
      <c r="GX120" s="7">
        <v>41</v>
      </c>
      <c r="GY120" s="7">
        <v>367</v>
      </c>
      <c r="GZ120" s="7">
        <v>450</v>
      </c>
      <c r="HA120" s="7">
        <v>512</v>
      </c>
      <c r="HB120" s="7">
        <v>494</v>
      </c>
      <c r="HC120" s="7">
        <v>371</v>
      </c>
      <c r="HD120" s="7">
        <v>338</v>
      </c>
      <c r="HE120" s="7">
        <v>339</v>
      </c>
      <c r="HF120" s="7">
        <v>349</v>
      </c>
      <c r="HG120" s="7">
        <v>247</v>
      </c>
      <c r="HH120" s="7">
        <v>205</v>
      </c>
      <c r="HI120" s="7">
        <v>237</v>
      </c>
      <c r="HJ120" s="7">
        <v>175</v>
      </c>
      <c r="HK120" s="7">
        <v>148</v>
      </c>
      <c r="HL120" s="7">
        <v>143</v>
      </c>
      <c r="HM120" s="7">
        <v>120</v>
      </c>
      <c r="HN120" s="7">
        <v>84</v>
      </c>
      <c r="HO120" s="7">
        <v>63</v>
      </c>
      <c r="HP120" s="7">
        <v>59</v>
      </c>
      <c r="HQ120" s="7">
        <v>3189</v>
      </c>
      <c r="HR120" s="7">
        <v>1</v>
      </c>
      <c r="HS120" s="7">
        <v>0</v>
      </c>
      <c r="HT120" s="7">
        <v>0</v>
      </c>
      <c r="HU120" s="7">
        <v>0</v>
      </c>
      <c r="HV120" s="7">
        <v>2</v>
      </c>
      <c r="HW120" s="7">
        <v>0</v>
      </c>
      <c r="HX120" s="7">
        <v>24</v>
      </c>
      <c r="HY120" s="7">
        <v>286</v>
      </c>
      <c r="HZ120" s="7">
        <v>368</v>
      </c>
      <c r="IA120" s="7">
        <v>509</v>
      </c>
      <c r="IB120" s="7">
        <v>672</v>
      </c>
      <c r="IC120" s="7">
        <v>542</v>
      </c>
      <c r="ID120" s="7">
        <v>363</v>
      </c>
      <c r="IE120" s="7">
        <v>185</v>
      </c>
      <c r="IF120" s="7">
        <v>125</v>
      </c>
      <c r="IG120" s="7">
        <v>163</v>
      </c>
      <c r="IH120" s="7">
        <v>379</v>
      </c>
      <c r="II120" s="7">
        <v>838</v>
      </c>
      <c r="IJ120" s="7">
        <v>740</v>
      </c>
      <c r="IK120" s="7">
        <v>645</v>
      </c>
      <c r="IL120" s="7">
        <v>379</v>
      </c>
      <c r="IM120" s="7">
        <v>149</v>
      </c>
      <c r="IN120" s="7">
        <v>44</v>
      </c>
      <c r="IO120" s="7">
        <v>16</v>
      </c>
      <c r="IP120" s="7">
        <v>16</v>
      </c>
      <c r="IQ120" s="7">
        <v>1470</v>
      </c>
      <c r="IR120" s="7">
        <v>1114</v>
      </c>
      <c r="IS120" s="7">
        <v>482</v>
      </c>
      <c r="IT120" s="7">
        <v>115</v>
      </c>
      <c r="IU120" s="7">
        <v>25</v>
      </c>
      <c r="IV120" s="7">
        <v>2407</v>
      </c>
      <c r="IW120" s="7">
        <v>520</v>
      </c>
      <c r="IX120" s="7">
        <v>74</v>
      </c>
      <c r="IY120" s="7">
        <v>76</v>
      </c>
      <c r="IZ120" s="7">
        <v>3</v>
      </c>
      <c r="JA120" s="7">
        <v>124</v>
      </c>
      <c r="JB120" s="7">
        <v>1849</v>
      </c>
      <c r="JC120" s="7">
        <v>457</v>
      </c>
      <c r="JD120" s="7">
        <v>186</v>
      </c>
      <c r="JE120" s="7">
        <v>500</v>
      </c>
      <c r="JF120" s="151">
        <v>3122.5628158710456</v>
      </c>
      <c r="JG120" s="151">
        <v>85.362070984268044</v>
      </c>
      <c r="JH120" s="7">
        <v>352</v>
      </c>
      <c r="JI120" s="7">
        <v>2648</v>
      </c>
      <c r="JJ120" s="7">
        <v>202</v>
      </c>
      <c r="JK120" s="7">
        <v>11</v>
      </c>
      <c r="JL120" s="7">
        <v>1729</v>
      </c>
      <c r="JM120" s="7">
        <v>705</v>
      </c>
      <c r="JN120" s="7">
        <v>381</v>
      </c>
      <c r="JO120" s="7">
        <v>2548</v>
      </c>
      <c r="JP120" s="7">
        <v>2773</v>
      </c>
      <c r="JQ120" s="7">
        <v>261</v>
      </c>
      <c r="JR120" s="7">
        <v>526</v>
      </c>
      <c r="JS120" s="7">
        <v>1575</v>
      </c>
      <c r="JT120" s="7">
        <v>87</v>
      </c>
      <c r="JU120" s="151">
        <v>373.40200034829547</v>
      </c>
      <c r="JV120" s="151">
        <v>2556.5255537293751</v>
      </c>
      <c r="JW120" s="151">
        <v>190.35285347828756</v>
      </c>
      <c r="JX120" s="151">
        <v>2.2824083150873808</v>
      </c>
      <c r="JY120" s="7">
        <v>3092</v>
      </c>
      <c r="JZ120" s="7">
        <v>13971</v>
      </c>
      <c r="KA120" s="7">
        <v>3</v>
      </c>
      <c r="KB120" s="7">
        <v>0</v>
      </c>
      <c r="KC120" s="7">
        <v>0</v>
      </c>
      <c r="KD120" s="7">
        <v>0</v>
      </c>
      <c r="KE120" s="7">
        <v>8</v>
      </c>
      <c r="KF120" s="7">
        <v>0</v>
      </c>
      <c r="KG120" s="7">
        <v>107</v>
      </c>
      <c r="KH120" s="7">
        <v>1645</v>
      </c>
      <c r="KI120" s="7">
        <v>11501</v>
      </c>
      <c r="KJ120" s="7">
        <v>887</v>
      </c>
      <c r="KK120" s="7">
        <v>45</v>
      </c>
      <c r="KL120" s="7">
        <v>1636</v>
      </c>
      <c r="KM120" s="7">
        <v>11201</v>
      </c>
      <c r="KN120" s="7">
        <v>834</v>
      </c>
      <c r="KO120" s="7">
        <v>10</v>
      </c>
      <c r="KP120" s="7">
        <v>13681</v>
      </c>
      <c r="KQ120" s="7">
        <v>374</v>
      </c>
      <c r="KR120" s="7">
        <v>2153</v>
      </c>
      <c r="KS120" s="7">
        <v>2153</v>
      </c>
      <c r="KT120" s="7">
        <v>364</v>
      </c>
      <c r="KU120" s="7">
        <v>131</v>
      </c>
      <c r="KV120" s="7">
        <v>417</v>
      </c>
      <c r="KW120" s="7">
        <v>1</v>
      </c>
      <c r="KX120" s="7">
        <v>341</v>
      </c>
      <c r="KY120" s="7">
        <v>152</v>
      </c>
      <c r="KZ120" s="7">
        <v>417</v>
      </c>
      <c r="LA120" s="7">
        <v>0</v>
      </c>
      <c r="LB120" s="7">
        <v>1133</v>
      </c>
      <c r="LC120" s="7">
        <v>1149</v>
      </c>
      <c r="LD120" s="7">
        <v>512</v>
      </c>
      <c r="LE120" s="7">
        <v>937</v>
      </c>
      <c r="LF120" s="7">
        <v>9667</v>
      </c>
      <c r="LG120" s="7">
        <v>14</v>
      </c>
      <c r="LH120" s="7">
        <v>1610</v>
      </c>
      <c r="LI120" s="7">
        <v>218</v>
      </c>
      <c r="LJ120" s="7">
        <v>963</v>
      </c>
      <c r="LK120" s="7">
        <v>4</v>
      </c>
      <c r="LL120" s="7">
        <v>880</v>
      </c>
      <c r="LM120" s="7">
        <v>379</v>
      </c>
      <c r="LN120" s="7">
        <v>9</v>
      </c>
      <c r="LO120" s="7">
        <v>1797</v>
      </c>
      <c r="LP120" s="7">
        <v>221</v>
      </c>
      <c r="LQ120" s="7">
        <v>989</v>
      </c>
      <c r="LR120" s="7">
        <v>11</v>
      </c>
      <c r="LS120" s="7">
        <v>846</v>
      </c>
      <c r="LT120" s="7">
        <v>327</v>
      </c>
      <c r="LU120" s="232">
        <v>6.8412781016000004</v>
      </c>
      <c r="LV120" s="232">
        <v>7.1637592672999997</v>
      </c>
      <c r="LW120" s="232">
        <v>6.5467941059000001</v>
      </c>
      <c r="LX120" s="7">
        <v>3213</v>
      </c>
      <c r="LY120" s="7">
        <v>14078</v>
      </c>
    </row>
    <row r="121" spans="1:337" x14ac:dyDescent="0.25">
      <c r="A121" t="s">
        <v>246</v>
      </c>
      <c r="B121" t="s">
        <v>247</v>
      </c>
      <c r="C121" s="7">
        <v>52833</v>
      </c>
      <c r="D121">
        <v>61341</v>
      </c>
      <c r="F121">
        <f t="shared" si="6"/>
        <v>-61341</v>
      </c>
      <c r="G121">
        <f t="shared" si="7"/>
        <v>-100</v>
      </c>
      <c r="H121">
        <v>30774</v>
      </c>
      <c r="I121">
        <v>30567</v>
      </c>
      <c r="J121">
        <v>36517</v>
      </c>
      <c r="K121">
        <v>24824</v>
      </c>
      <c r="L121" s="7">
        <v>3461</v>
      </c>
      <c r="M121" s="7">
        <v>3301</v>
      </c>
      <c r="N121" s="7">
        <v>3345</v>
      </c>
      <c r="O121" s="7">
        <v>3229</v>
      </c>
      <c r="P121" s="7">
        <v>2737</v>
      </c>
      <c r="Q121" s="7">
        <v>2228</v>
      </c>
      <c r="R121" s="7">
        <v>2206</v>
      </c>
      <c r="S121" s="7">
        <v>2064</v>
      </c>
      <c r="T121" s="7">
        <v>1627</v>
      </c>
      <c r="U121" s="7">
        <v>1421</v>
      </c>
      <c r="V121" s="7">
        <v>1136</v>
      </c>
      <c r="W121" s="7">
        <v>1028</v>
      </c>
      <c r="X121" s="7">
        <v>768</v>
      </c>
      <c r="Y121" s="7">
        <v>1865</v>
      </c>
      <c r="Z121" s="7">
        <v>358</v>
      </c>
      <c r="AA121" s="7">
        <v>3237</v>
      </c>
      <c r="AB121" s="7">
        <v>3301</v>
      </c>
      <c r="AC121" s="7">
        <v>3223</v>
      </c>
      <c r="AD121" s="7">
        <v>3174</v>
      </c>
      <c r="AE121" s="7">
        <v>2820</v>
      </c>
      <c r="AF121" s="7">
        <v>2469</v>
      </c>
      <c r="AG121" s="7">
        <v>2340</v>
      </c>
      <c r="AH121" s="7">
        <v>2162</v>
      </c>
      <c r="AI121" s="7">
        <v>1674</v>
      </c>
      <c r="AJ121" s="7">
        <v>1377</v>
      </c>
      <c r="AK121" s="7">
        <v>1198</v>
      </c>
      <c r="AL121" s="7">
        <v>914</v>
      </c>
      <c r="AM121" s="7">
        <v>651</v>
      </c>
      <c r="AN121" s="7">
        <v>1669</v>
      </c>
      <c r="AO121" s="7">
        <v>358</v>
      </c>
      <c r="AP121">
        <v>60119</v>
      </c>
      <c r="AQ121">
        <v>376</v>
      </c>
      <c r="AR121">
        <v>16</v>
      </c>
      <c r="AS121">
        <v>39</v>
      </c>
      <c r="AT121">
        <v>791</v>
      </c>
      <c r="AU121" s="7">
        <v>12855</v>
      </c>
      <c r="AV121" s="7">
        <v>6497</v>
      </c>
      <c r="AW121" s="7">
        <v>6358</v>
      </c>
      <c r="AX121" s="7">
        <v>9495</v>
      </c>
      <c r="AY121" s="7">
        <v>12855</v>
      </c>
      <c r="AZ121" s="7">
        <v>5434</v>
      </c>
      <c r="BA121" s="7">
        <v>7421</v>
      </c>
      <c r="BB121" s="7">
        <v>338</v>
      </c>
      <c r="BC121" s="7">
        <v>311</v>
      </c>
      <c r="BD121" s="7">
        <v>831</v>
      </c>
      <c r="BE121" s="7">
        <v>881</v>
      </c>
      <c r="BF121" s="7">
        <v>784</v>
      </c>
      <c r="BG121" s="7">
        <v>780</v>
      </c>
      <c r="BH121" s="7">
        <v>724</v>
      </c>
      <c r="BI121" s="7">
        <v>742</v>
      </c>
      <c r="BJ121" s="7">
        <v>573</v>
      </c>
      <c r="BK121" s="7">
        <v>570</v>
      </c>
      <c r="BL121" s="7">
        <v>501</v>
      </c>
      <c r="BM121" s="7">
        <v>516</v>
      </c>
      <c r="BN121" s="7">
        <v>485</v>
      </c>
      <c r="BO121" s="7">
        <v>503</v>
      </c>
      <c r="BP121" s="7">
        <v>494</v>
      </c>
      <c r="BQ121" s="7">
        <v>451</v>
      </c>
      <c r="BR121" s="7">
        <v>365</v>
      </c>
      <c r="BS121" s="7">
        <v>332</v>
      </c>
      <c r="BT121" s="7">
        <v>326</v>
      </c>
      <c r="BU121" s="7">
        <v>281</v>
      </c>
      <c r="BV121" s="7">
        <v>264</v>
      </c>
      <c r="BW121" s="7">
        <v>257</v>
      </c>
      <c r="BX121" s="7">
        <v>211</v>
      </c>
      <c r="BY121" s="7">
        <v>211</v>
      </c>
      <c r="BZ121" s="7">
        <v>172</v>
      </c>
      <c r="CA121" s="7">
        <v>142</v>
      </c>
      <c r="CB121" s="7">
        <v>429</v>
      </c>
      <c r="CC121" s="7">
        <v>381</v>
      </c>
      <c r="CD121" s="7">
        <v>6138</v>
      </c>
      <c r="CE121" s="7">
        <v>5955</v>
      </c>
      <c r="CF121" s="7">
        <v>252</v>
      </c>
      <c r="CG121" s="7">
        <v>284</v>
      </c>
      <c r="CH121" s="7">
        <v>12287</v>
      </c>
      <c r="CI121" s="7">
        <v>2172</v>
      </c>
      <c r="CJ121" s="7">
        <v>53472</v>
      </c>
      <c r="CK121" s="7">
        <v>7163</v>
      </c>
      <c r="CL121" s="7">
        <v>997</v>
      </c>
      <c r="CM121" s="7">
        <v>1848</v>
      </c>
      <c r="CN121" s="7">
        <v>2603</v>
      </c>
      <c r="CO121" s="7">
        <v>3478</v>
      </c>
      <c r="CP121" s="7">
        <v>2547</v>
      </c>
      <c r="CQ121" s="7">
        <v>2986</v>
      </c>
      <c r="CR121" s="7">
        <v>11390</v>
      </c>
      <c r="CS121" s="7">
        <v>27165</v>
      </c>
      <c r="CT121" s="7">
        <v>3885</v>
      </c>
      <c r="CU121" s="7">
        <v>1554</v>
      </c>
      <c r="CV121" s="7">
        <v>536</v>
      </c>
      <c r="CW121" s="7">
        <v>1288</v>
      </c>
      <c r="CX121" s="7">
        <v>167</v>
      </c>
      <c r="CY121" s="7">
        <v>38940</v>
      </c>
      <c r="CZ121" s="7">
        <v>19187</v>
      </c>
      <c r="DA121" s="7">
        <v>540</v>
      </c>
      <c r="DB121" s="7">
        <v>997</v>
      </c>
      <c r="DC121" s="7">
        <v>33</v>
      </c>
      <c r="DD121" s="7">
        <v>5977</v>
      </c>
      <c r="DE121" s="7">
        <v>4834</v>
      </c>
      <c r="DF121" s="7">
        <v>14013</v>
      </c>
      <c r="DG121" s="7">
        <v>13884</v>
      </c>
      <c r="DH121" s="7">
        <v>7137</v>
      </c>
      <c r="DI121" s="7">
        <v>15496</v>
      </c>
      <c r="DJ121" s="7">
        <v>0</v>
      </c>
      <c r="DK121" s="7">
        <v>0</v>
      </c>
      <c r="DL121" s="7">
        <v>262</v>
      </c>
      <c r="DM121" s="7">
        <v>15</v>
      </c>
      <c r="DN121" s="7">
        <v>10</v>
      </c>
      <c r="DO121" s="7">
        <v>4</v>
      </c>
      <c r="DP121" s="7">
        <v>1</v>
      </c>
      <c r="DQ121" s="7">
        <v>1</v>
      </c>
      <c r="DR121" s="7">
        <v>0</v>
      </c>
      <c r="DS121" s="7">
        <v>0</v>
      </c>
      <c r="DT121" s="7">
        <v>552</v>
      </c>
      <c r="DU121" s="7">
        <v>572</v>
      </c>
      <c r="DV121" s="7">
        <v>298</v>
      </c>
      <c r="DW121" s="7">
        <v>298</v>
      </c>
      <c r="DX121" s="7">
        <v>184</v>
      </c>
      <c r="DY121" s="7">
        <v>124</v>
      </c>
      <c r="DZ121" s="7">
        <v>139</v>
      </c>
      <c r="EA121" s="7">
        <v>93</v>
      </c>
      <c r="EB121" s="7">
        <v>28</v>
      </c>
      <c r="EC121" s="7">
        <v>32</v>
      </c>
      <c r="ED121" s="7">
        <v>32</v>
      </c>
      <c r="EE121" s="7">
        <v>24</v>
      </c>
      <c r="EF121" s="7">
        <v>91</v>
      </c>
      <c r="EG121" s="7">
        <v>67</v>
      </c>
      <c r="EH121" s="7">
        <v>653</v>
      </c>
      <c r="EI121" s="7">
        <v>341</v>
      </c>
      <c r="EJ121" s="7">
        <v>165</v>
      </c>
      <c r="EK121" s="7">
        <v>111</v>
      </c>
      <c r="EL121" s="7">
        <v>35</v>
      </c>
      <c r="EM121" s="7">
        <v>32</v>
      </c>
      <c r="EN121" s="7">
        <v>84</v>
      </c>
      <c r="EO121" s="7">
        <v>18058</v>
      </c>
      <c r="EP121" s="7">
        <v>17195</v>
      </c>
      <c r="EQ121" s="7">
        <v>863</v>
      </c>
      <c r="ER121" s="7">
        <v>4118</v>
      </c>
      <c r="ES121" s="7">
        <v>4947</v>
      </c>
      <c r="ET121" s="7">
        <v>4902</v>
      </c>
      <c r="EU121" s="7">
        <v>45</v>
      </c>
      <c r="EV121" s="7">
        <v>17345</v>
      </c>
      <c r="EW121" s="134">
        <v>54.713313896999999</v>
      </c>
      <c r="EX121" s="134">
        <v>15.276042390000001</v>
      </c>
      <c r="EY121" s="134">
        <v>9.9079087417</v>
      </c>
      <c r="EZ121" s="134">
        <v>19.538155398000001</v>
      </c>
      <c r="FA121" s="134">
        <v>0.56457957329999997</v>
      </c>
      <c r="FB121" s="7">
        <v>5329</v>
      </c>
      <c r="FC121" s="7">
        <v>9393</v>
      </c>
      <c r="FD121" s="7">
        <v>915</v>
      </c>
      <c r="FE121" s="7">
        <v>3477</v>
      </c>
      <c r="FF121" s="7">
        <v>13</v>
      </c>
      <c r="FG121" s="7">
        <v>2439</v>
      </c>
      <c r="FH121" s="7">
        <v>1374</v>
      </c>
      <c r="FI121" s="134">
        <v>62.075986856999997</v>
      </c>
      <c r="FJ121" s="134">
        <v>20.523855801</v>
      </c>
      <c r="FK121" s="134">
        <v>12.032023693999999</v>
      </c>
      <c r="FL121" s="134">
        <v>5.3681336479999997</v>
      </c>
      <c r="FM121" s="151">
        <v>17597</v>
      </c>
      <c r="FN121" s="151">
        <v>12769</v>
      </c>
      <c r="FO121" s="7">
        <v>3992</v>
      </c>
      <c r="FP121" s="7">
        <v>656</v>
      </c>
      <c r="FQ121" s="7">
        <v>211</v>
      </c>
      <c r="FR121" s="7">
        <v>16</v>
      </c>
      <c r="FS121" s="7">
        <v>12472</v>
      </c>
      <c r="FT121" s="7">
        <v>41</v>
      </c>
      <c r="FU121" s="7">
        <v>411</v>
      </c>
      <c r="FV121" s="7">
        <v>408</v>
      </c>
      <c r="FW121" s="7">
        <v>18372</v>
      </c>
      <c r="FX121" s="7">
        <v>11793</v>
      </c>
      <c r="FY121" s="7">
        <v>3766</v>
      </c>
      <c r="FZ121" s="7">
        <v>687</v>
      </c>
      <c r="GA121" s="7">
        <v>229</v>
      </c>
      <c r="GB121" s="7">
        <v>18</v>
      </c>
      <c r="GC121" s="7">
        <v>13426</v>
      </c>
      <c r="GD121" s="7">
        <v>26</v>
      </c>
      <c r="GE121" s="7">
        <v>425</v>
      </c>
      <c r="GF121" s="7">
        <v>402</v>
      </c>
      <c r="GG121" s="7">
        <v>1966</v>
      </c>
      <c r="GH121" s="7">
        <v>2055</v>
      </c>
      <c r="GI121" s="7">
        <v>2112</v>
      </c>
      <c r="GJ121" s="7">
        <v>1736</v>
      </c>
      <c r="GK121" s="7">
        <v>1179</v>
      </c>
      <c r="GL121" s="7">
        <v>1192</v>
      </c>
      <c r="GM121" s="7">
        <v>1333</v>
      </c>
      <c r="GN121" s="7">
        <v>1277</v>
      </c>
      <c r="GO121" s="7">
        <v>1015</v>
      </c>
      <c r="GP121" s="7">
        <v>880</v>
      </c>
      <c r="GQ121" s="7">
        <v>700</v>
      </c>
      <c r="GR121" s="7">
        <v>615</v>
      </c>
      <c r="GS121" s="7">
        <v>460</v>
      </c>
      <c r="GT121" s="7">
        <v>341</v>
      </c>
      <c r="GU121" s="7">
        <v>330</v>
      </c>
      <c r="GV121" s="7">
        <v>192</v>
      </c>
      <c r="GW121" s="7">
        <v>117</v>
      </c>
      <c r="GX121" s="7">
        <v>93</v>
      </c>
      <c r="GY121" s="7">
        <v>1829</v>
      </c>
      <c r="GZ121" s="7">
        <v>2031</v>
      </c>
      <c r="HA121" s="7">
        <v>2011</v>
      </c>
      <c r="HB121" s="7">
        <v>1674</v>
      </c>
      <c r="HC121" s="7">
        <v>1478</v>
      </c>
      <c r="HD121" s="7">
        <v>1533</v>
      </c>
      <c r="HE121" s="7">
        <v>1514</v>
      </c>
      <c r="HF121" s="7">
        <v>1429</v>
      </c>
      <c r="HG121" s="7">
        <v>1143</v>
      </c>
      <c r="HH121" s="7">
        <v>902</v>
      </c>
      <c r="HI121" s="7">
        <v>808</v>
      </c>
      <c r="HJ121" s="7">
        <v>583</v>
      </c>
      <c r="HK121" s="7">
        <v>414</v>
      </c>
      <c r="HL121" s="7">
        <v>383</v>
      </c>
      <c r="HM121" s="7">
        <v>309</v>
      </c>
      <c r="HN121" s="7">
        <v>155</v>
      </c>
      <c r="HO121" s="7">
        <v>97</v>
      </c>
      <c r="HP121" s="7">
        <v>75</v>
      </c>
      <c r="HQ121" s="7">
        <v>14391</v>
      </c>
      <c r="HR121" s="7">
        <v>13</v>
      </c>
      <c r="HS121" s="7">
        <v>14</v>
      </c>
      <c r="HT121" s="7">
        <v>0</v>
      </c>
      <c r="HU121" s="7">
        <v>3</v>
      </c>
      <c r="HV121" s="7">
        <v>0</v>
      </c>
      <c r="HW121" s="7">
        <v>0</v>
      </c>
      <c r="HX121" s="7">
        <v>272</v>
      </c>
      <c r="HY121" s="7">
        <v>997</v>
      </c>
      <c r="HZ121" s="7">
        <v>1848</v>
      </c>
      <c r="IA121" s="7">
        <v>2603</v>
      </c>
      <c r="IB121" s="7">
        <v>3478</v>
      </c>
      <c r="IC121" s="7">
        <v>2546</v>
      </c>
      <c r="ID121" s="7">
        <v>1384</v>
      </c>
      <c r="IE121" s="7">
        <v>676</v>
      </c>
      <c r="IF121" s="7">
        <v>431</v>
      </c>
      <c r="IG121" s="7">
        <v>493</v>
      </c>
      <c r="IH121" s="7">
        <v>2698</v>
      </c>
      <c r="II121" s="7">
        <v>4608</v>
      </c>
      <c r="IJ121" s="7">
        <v>3571</v>
      </c>
      <c r="IK121" s="7">
        <v>1917</v>
      </c>
      <c r="IL121" s="7">
        <v>1200</v>
      </c>
      <c r="IM121" s="7">
        <v>281</v>
      </c>
      <c r="IN121" s="7">
        <v>66</v>
      </c>
      <c r="IO121" s="7">
        <v>27</v>
      </c>
      <c r="IP121" s="7">
        <v>27</v>
      </c>
      <c r="IQ121" s="7">
        <v>8220</v>
      </c>
      <c r="IR121" s="7">
        <v>4394</v>
      </c>
      <c r="IS121" s="7">
        <v>1493</v>
      </c>
      <c r="IT121" s="7">
        <v>242</v>
      </c>
      <c r="IU121" s="7">
        <v>59</v>
      </c>
      <c r="IV121" s="7">
        <v>5758</v>
      </c>
      <c r="IW121" s="7">
        <v>7139</v>
      </c>
      <c r="IX121" s="7">
        <v>75</v>
      </c>
      <c r="IY121" s="7">
        <v>402</v>
      </c>
      <c r="IZ121" s="7">
        <v>132</v>
      </c>
      <c r="JA121" s="7">
        <v>912</v>
      </c>
      <c r="JB121" s="7">
        <v>10449</v>
      </c>
      <c r="JC121" s="7">
        <v>1981</v>
      </c>
      <c r="JD121" s="7">
        <v>138</v>
      </c>
      <c r="JE121" s="7">
        <v>62</v>
      </c>
      <c r="JF121" s="151">
        <v>12706.798150125596</v>
      </c>
      <c r="JG121" s="151">
        <v>1724.3015636751588</v>
      </c>
      <c r="JH121" s="7">
        <v>1672</v>
      </c>
      <c r="JI121" s="7">
        <v>11290</v>
      </c>
      <c r="JJ121" s="7">
        <v>1433</v>
      </c>
      <c r="JK121" s="7">
        <v>61</v>
      </c>
      <c r="JL121" s="7">
        <v>8401</v>
      </c>
      <c r="JM121" s="7">
        <v>6094</v>
      </c>
      <c r="JN121" s="7">
        <v>2267</v>
      </c>
      <c r="JO121" s="7">
        <v>9906</v>
      </c>
      <c r="JP121" s="7">
        <v>12185</v>
      </c>
      <c r="JQ121" s="7">
        <v>822</v>
      </c>
      <c r="JR121" s="7">
        <v>1642</v>
      </c>
      <c r="JS121" s="7">
        <v>4414</v>
      </c>
      <c r="JT121" s="7">
        <v>293</v>
      </c>
      <c r="JU121" s="151">
        <v>2480.9339605139471</v>
      </c>
      <c r="JV121" s="151">
        <v>9825.7289353111482</v>
      </c>
      <c r="JW121" s="151">
        <v>363.88939097888152</v>
      </c>
      <c r="JX121" s="151">
        <v>36.245863321618607</v>
      </c>
      <c r="JY121" s="7">
        <v>14044</v>
      </c>
      <c r="JZ121" s="7">
        <v>60388</v>
      </c>
      <c r="KA121" s="7">
        <v>37</v>
      </c>
      <c r="KB121" s="7">
        <v>42</v>
      </c>
      <c r="KC121" s="7">
        <v>0</v>
      </c>
      <c r="KD121" s="7">
        <v>18</v>
      </c>
      <c r="KE121" s="7">
        <v>0</v>
      </c>
      <c r="KF121" s="7">
        <v>0</v>
      </c>
      <c r="KG121" s="7">
        <v>852</v>
      </c>
      <c r="KH121" s="7">
        <v>7244</v>
      </c>
      <c r="KI121" s="7">
        <v>47655</v>
      </c>
      <c r="KJ121" s="7">
        <v>5460</v>
      </c>
      <c r="KK121" s="7">
        <v>258</v>
      </c>
      <c r="KL121" s="7">
        <v>10404</v>
      </c>
      <c r="KM121" s="7">
        <v>41205</v>
      </c>
      <c r="KN121" s="7">
        <v>1526</v>
      </c>
      <c r="KO121" s="7">
        <v>152</v>
      </c>
      <c r="KP121" s="7">
        <v>53287</v>
      </c>
      <c r="KQ121" s="7">
        <v>7231</v>
      </c>
      <c r="KR121" s="7">
        <v>8622</v>
      </c>
      <c r="KS121" s="7">
        <v>8622</v>
      </c>
      <c r="KT121" s="7">
        <v>1848</v>
      </c>
      <c r="KU121" s="7">
        <v>537</v>
      </c>
      <c r="KV121" s="7">
        <v>1353</v>
      </c>
      <c r="KW121" s="7">
        <v>0</v>
      </c>
      <c r="KX121" s="7">
        <v>1766</v>
      </c>
      <c r="KY121" s="7">
        <v>635</v>
      </c>
      <c r="KZ121" s="7">
        <v>1345</v>
      </c>
      <c r="LA121" s="7">
        <v>3</v>
      </c>
      <c r="LB121" s="7">
        <v>4746</v>
      </c>
      <c r="LC121" s="7">
        <v>4680</v>
      </c>
      <c r="LD121" s="7">
        <v>4625</v>
      </c>
      <c r="LE121" s="7">
        <v>5717</v>
      </c>
      <c r="LF121" s="7">
        <v>40757</v>
      </c>
      <c r="LG121" s="7">
        <v>58</v>
      </c>
      <c r="LH121" s="7">
        <v>7695</v>
      </c>
      <c r="LI121" s="7">
        <v>1016</v>
      </c>
      <c r="LJ121" s="7">
        <v>3051</v>
      </c>
      <c r="LK121" s="7">
        <v>6</v>
      </c>
      <c r="LL121" s="7">
        <v>2501</v>
      </c>
      <c r="LM121" s="7">
        <v>1221</v>
      </c>
      <c r="LN121" s="7">
        <v>62</v>
      </c>
      <c r="LO121" s="7">
        <v>8016</v>
      </c>
      <c r="LP121" s="7">
        <v>974</v>
      </c>
      <c r="LQ121" s="7">
        <v>3061</v>
      </c>
      <c r="LR121" s="7">
        <v>19</v>
      </c>
      <c r="LS121" s="7">
        <v>2011</v>
      </c>
      <c r="LT121" s="7">
        <v>789</v>
      </c>
      <c r="LU121" s="232">
        <v>5.3985079036999997</v>
      </c>
      <c r="LV121" s="232">
        <v>5.6973411089999999</v>
      </c>
      <c r="LW121" s="232">
        <v>5.1018155054000003</v>
      </c>
      <c r="LX121" s="7">
        <v>14456</v>
      </c>
      <c r="LY121" s="7">
        <v>60617</v>
      </c>
    </row>
    <row r="122" spans="1:337" x14ac:dyDescent="0.25">
      <c r="A122" t="s">
        <v>178</v>
      </c>
      <c r="B122" t="s">
        <v>179</v>
      </c>
      <c r="C122" s="7">
        <v>26706</v>
      </c>
      <c r="D122">
        <v>27899</v>
      </c>
      <c r="F122">
        <f t="shared" si="6"/>
        <v>-27899</v>
      </c>
      <c r="G122">
        <f t="shared" si="7"/>
        <v>-100</v>
      </c>
      <c r="H122">
        <v>13850</v>
      </c>
      <c r="I122">
        <v>14049</v>
      </c>
      <c r="J122">
        <v>7201</v>
      </c>
      <c r="K122">
        <v>20698</v>
      </c>
      <c r="L122" s="7">
        <v>1555</v>
      </c>
      <c r="M122" s="7">
        <v>1550</v>
      </c>
      <c r="N122" s="7">
        <v>1706</v>
      </c>
      <c r="O122" s="7">
        <v>1740</v>
      </c>
      <c r="P122" s="7">
        <v>1034</v>
      </c>
      <c r="Q122" s="7">
        <v>823</v>
      </c>
      <c r="R122" s="7">
        <v>813</v>
      </c>
      <c r="S122" s="7">
        <v>790</v>
      </c>
      <c r="T122" s="7">
        <v>713</v>
      </c>
      <c r="U122" s="7">
        <v>659</v>
      </c>
      <c r="V122" s="7">
        <v>551</v>
      </c>
      <c r="W122" s="7">
        <v>474</v>
      </c>
      <c r="X122" s="7">
        <v>400</v>
      </c>
      <c r="Y122" s="7">
        <v>1033</v>
      </c>
      <c r="Z122" s="7">
        <v>9</v>
      </c>
      <c r="AA122" s="7">
        <v>1426</v>
      </c>
      <c r="AB122" s="7">
        <v>1571</v>
      </c>
      <c r="AC122" s="7">
        <v>1672</v>
      </c>
      <c r="AD122" s="7">
        <v>1700</v>
      </c>
      <c r="AE122" s="7">
        <v>1231</v>
      </c>
      <c r="AF122" s="7">
        <v>987</v>
      </c>
      <c r="AG122" s="7">
        <v>917</v>
      </c>
      <c r="AH122" s="7">
        <v>890</v>
      </c>
      <c r="AI122" s="7">
        <v>766</v>
      </c>
      <c r="AJ122" s="7">
        <v>643</v>
      </c>
      <c r="AK122" s="7">
        <v>547</v>
      </c>
      <c r="AL122" s="7">
        <v>444</v>
      </c>
      <c r="AM122" s="7">
        <v>389</v>
      </c>
      <c r="AN122" s="7">
        <v>856</v>
      </c>
      <c r="AO122" s="7">
        <v>10</v>
      </c>
      <c r="AP122">
        <v>27089</v>
      </c>
      <c r="AQ122">
        <v>584</v>
      </c>
      <c r="AR122">
        <v>54</v>
      </c>
      <c r="AS122">
        <v>115</v>
      </c>
      <c r="AT122">
        <v>57</v>
      </c>
      <c r="AU122" s="7">
        <v>179</v>
      </c>
      <c r="AV122" s="7">
        <v>95</v>
      </c>
      <c r="AW122" s="7">
        <v>84</v>
      </c>
      <c r="AX122" s="7">
        <v>195</v>
      </c>
      <c r="AY122" s="7">
        <v>179</v>
      </c>
      <c r="AZ122" s="7">
        <v>160</v>
      </c>
      <c r="BA122" s="7">
        <v>19</v>
      </c>
      <c r="BB122" s="7">
        <v>4</v>
      </c>
      <c r="BC122" s="7">
        <v>1</v>
      </c>
      <c r="BD122" s="7">
        <v>13</v>
      </c>
      <c r="BE122" s="7">
        <v>13</v>
      </c>
      <c r="BF122" s="7">
        <v>16</v>
      </c>
      <c r="BG122" s="7">
        <v>10</v>
      </c>
      <c r="BH122" s="7">
        <v>6</v>
      </c>
      <c r="BI122" s="7">
        <v>9</v>
      </c>
      <c r="BJ122" s="7">
        <v>2</v>
      </c>
      <c r="BK122" s="7">
        <v>9</v>
      </c>
      <c r="BL122" s="7">
        <v>3</v>
      </c>
      <c r="BM122" s="7">
        <v>4</v>
      </c>
      <c r="BN122" s="7">
        <v>6</v>
      </c>
      <c r="BO122" s="7">
        <v>5</v>
      </c>
      <c r="BP122" s="7">
        <v>5</v>
      </c>
      <c r="BQ122" s="7">
        <v>7</v>
      </c>
      <c r="BR122" s="7">
        <v>7</v>
      </c>
      <c r="BS122" s="7">
        <v>5</v>
      </c>
      <c r="BT122" s="7">
        <v>7</v>
      </c>
      <c r="BU122" s="7">
        <v>4</v>
      </c>
      <c r="BV122" s="7">
        <v>2</v>
      </c>
      <c r="BW122" s="7">
        <v>2</v>
      </c>
      <c r="BX122" s="7">
        <v>9</v>
      </c>
      <c r="BY122" s="7">
        <v>6</v>
      </c>
      <c r="BZ122" s="7">
        <v>3</v>
      </c>
      <c r="CA122" s="7">
        <v>2</v>
      </c>
      <c r="CB122" s="7">
        <v>12</v>
      </c>
      <c r="CC122" s="7">
        <v>7</v>
      </c>
      <c r="CD122" s="7">
        <v>73</v>
      </c>
      <c r="CE122" s="7">
        <v>65</v>
      </c>
      <c r="CF122" s="7">
        <v>0</v>
      </c>
      <c r="CG122" s="7">
        <v>0</v>
      </c>
      <c r="CH122" s="7">
        <v>5068</v>
      </c>
      <c r="CI122" s="7">
        <v>1536</v>
      </c>
      <c r="CJ122" s="7">
        <v>22410</v>
      </c>
      <c r="CK122" s="7">
        <v>5480</v>
      </c>
      <c r="CL122" s="7">
        <v>553</v>
      </c>
      <c r="CM122" s="7">
        <v>874</v>
      </c>
      <c r="CN122" s="7">
        <v>1149</v>
      </c>
      <c r="CO122" s="7">
        <v>1382</v>
      </c>
      <c r="CP122" s="7">
        <v>1113</v>
      </c>
      <c r="CQ122" s="7">
        <v>1533</v>
      </c>
      <c r="CR122" s="7">
        <v>4700</v>
      </c>
      <c r="CS122" s="7">
        <v>12477</v>
      </c>
      <c r="CT122" s="7">
        <v>2287</v>
      </c>
      <c r="CU122" s="7">
        <v>544</v>
      </c>
      <c r="CV122" s="7">
        <v>274</v>
      </c>
      <c r="CW122" s="7">
        <v>768</v>
      </c>
      <c r="CX122" s="7">
        <v>155</v>
      </c>
      <c r="CY122" s="7">
        <v>16427</v>
      </c>
      <c r="CZ122" s="7">
        <v>9921</v>
      </c>
      <c r="DA122" s="7">
        <v>573</v>
      </c>
      <c r="DB122" s="7">
        <v>553</v>
      </c>
      <c r="DC122" s="7">
        <v>21</v>
      </c>
      <c r="DD122" s="7">
        <v>5002</v>
      </c>
      <c r="DE122" s="7">
        <v>4863</v>
      </c>
      <c r="DF122" s="7">
        <v>10833</v>
      </c>
      <c r="DG122" s="7">
        <v>0</v>
      </c>
      <c r="DH122" s="7">
        <v>7201</v>
      </c>
      <c r="DI122" s="7">
        <v>0</v>
      </c>
      <c r="DJ122" s="7">
        <v>0</v>
      </c>
      <c r="DK122" s="7">
        <v>0</v>
      </c>
      <c r="DL122" s="7">
        <v>116</v>
      </c>
      <c r="DM122" s="7">
        <v>14</v>
      </c>
      <c r="DN122" s="7">
        <v>13</v>
      </c>
      <c r="DO122" s="7">
        <v>0</v>
      </c>
      <c r="DP122" s="7">
        <v>1</v>
      </c>
      <c r="DQ122" s="7">
        <v>0</v>
      </c>
      <c r="DR122" s="7">
        <v>0</v>
      </c>
      <c r="DS122" s="7">
        <v>0</v>
      </c>
      <c r="DT122" s="7">
        <v>221</v>
      </c>
      <c r="DU122" s="7">
        <v>189</v>
      </c>
      <c r="DV122" s="7">
        <v>143</v>
      </c>
      <c r="DW122" s="7">
        <v>87</v>
      </c>
      <c r="DX122" s="7">
        <v>56</v>
      </c>
      <c r="DY122" s="7">
        <v>30</v>
      </c>
      <c r="DZ122" s="7">
        <v>54</v>
      </c>
      <c r="EA122" s="7">
        <v>54</v>
      </c>
      <c r="EB122" s="7">
        <v>25</v>
      </c>
      <c r="EC122" s="7">
        <v>22</v>
      </c>
      <c r="ED122" s="7">
        <v>14</v>
      </c>
      <c r="EE122" s="7">
        <v>9</v>
      </c>
      <c r="EF122" s="7">
        <v>72</v>
      </c>
      <c r="EG122" s="7">
        <v>52</v>
      </c>
      <c r="EH122" s="7">
        <v>196</v>
      </c>
      <c r="EI122" s="7">
        <v>102</v>
      </c>
      <c r="EJ122" s="7">
        <v>44</v>
      </c>
      <c r="EK122" s="7">
        <v>42</v>
      </c>
      <c r="EL122" s="7">
        <v>23</v>
      </c>
      <c r="EM122" s="7">
        <v>11</v>
      </c>
      <c r="EN122" s="7">
        <v>44</v>
      </c>
      <c r="EO122" s="7">
        <v>7535</v>
      </c>
      <c r="EP122" s="7">
        <v>7450</v>
      </c>
      <c r="EQ122" s="7">
        <v>85</v>
      </c>
      <c r="ER122" s="7">
        <v>2499</v>
      </c>
      <c r="ES122" s="7">
        <v>1577</v>
      </c>
      <c r="ET122" s="7">
        <v>1558</v>
      </c>
      <c r="EU122" s="7">
        <v>19</v>
      </c>
      <c r="EV122" s="7">
        <v>8772</v>
      </c>
      <c r="EW122" s="134">
        <v>59.766827980999999</v>
      </c>
      <c r="EX122" s="134">
        <v>9.0079190496999999</v>
      </c>
      <c r="EY122" s="134">
        <v>9.7668279806000005</v>
      </c>
      <c r="EZ122" s="134">
        <v>21.018477783000002</v>
      </c>
      <c r="FA122" s="134">
        <v>0.4399472063</v>
      </c>
      <c r="FB122" s="7">
        <v>1416</v>
      </c>
      <c r="FC122" s="7">
        <v>3943</v>
      </c>
      <c r="FD122" s="7">
        <v>392</v>
      </c>
      <c r="FE122" s="7">
        <v>1571</v>
      </c>
      <c r="FF122" s="7">
        <v>4</v>
      </c>
      <c r="FG122" s="7">
        <v>1310</v>
      </c>
      <c r="FH122" s="7">
        <v>455</v>
      </c>
      <c r="FI122" s="134">
        <v>45.677518698</v>
      </c>
      <c r="FJ122" s="134">
        <v>34.469863615999998</v>
      </c>
      <c r="FK122" s="134">
        <v>13.704355477</v>
      </c>
      <c r="FL122" s="134">
        <v>6.1482622085000003</v>
      </c>
      <c r="FM122" s="151">
        <v>5784</v>
      </c>
      <c r="FN122" s="151">
        <v>8029</v>
      </c>
      <c r="FO122" s="7">
        <v>617</v>
      </c>
      <c r="FP122" s="7">
        <v>189</v>
      </c>
      <c r="FQ122" s="7">
        <v>101</v>
      </c>
      <c r="FR122" s="7">
        <v>31</v>
      </c>
      <c r="FS122" s="7">
        <v>4804</v>
      </c>
      <c r="FT122" s="7">
        <v>33</v>
      </c>
      <c r="FU122" s="7">
        <v>21</v>
      </c>
      <c r="FV122" s="7">
        <v>37</v>
      </c>
      <c r="FW122" s="7">
        <v>6497</v>
      </c>
      <c r="FX122" s="7">
        <v>7503</v>
      </c>
      <c r="FY122" s="7">
        <v>618</v>
      </c>
      <c r="FZ122" s="7">
        <v>205</v>
      </c>
      <c r="GA122" s="7">
        <v>99</v>
      </c>
      <c r="GB122" s="7">
        <v>26</v>
      </c>
      <c r="GC122" s="7">
        <v>5523</v>
      </c>
      <c r="GD122" s="7">
        <v>22</v>
      </c>
      <c r="GE122" s="7">
        <v>17</v>
      </c>
      <c r="GF122" s="7">
        <v>49</v>
      </c>
      <c r="GG122" s="7">
        <v>736</v>
      </c>
      <c r="GH122" s="7">
        <v>716</v>
      </c>
      <c r="GI122" s="7">
        <v>743</v>
      </c>
      <c r="GJ122" s="7">
        <v>708</v>
      </c>
      <c r="GK122" s="7">
        <v>339</v>
      </c>
      <c r="GL122" s="7">
        <v>321</v>
      </c>
      <c r="GM122" s="7">
        <v>314</v>
      </c>
      <c r="GN122" s="7">
        <v>316</v>
      </c>
      <c r="GO122" s="7">
        <v>272</v>
      </c>
      <c r="GP122" s="7">
        <v>277</v>
      </c>
      <c r="GQ122" s="7">
        <v>245</v>
      </c>
      <c r="GR122" s="7">
        <v>187</v>
      </c>
      <c r="GS122" s="7">
        <v>164</v>
      </c>
      <c r="GT122" s="7">
        <v>127</v>
      </c>
      <c r="GU122" s="7">
        <v>128</v>
      </c>
      <c r="GV122" s="7">
        <v>94</v>
      </c>
      <c r="GW122" s="7">
        <v>47</v>
      </c>
      <c r="GX122" s="7">
        <v>49</v>
      </c>
      <c r="GY122" s="7">
        <v>664</v>
      </c>
      <c r="GZ122" s="7">
        <v>668</v>
      </c>
      <c r="HA122" s="7">
        <v>793</v>
      </c>
      <c r="HB122" s="7">
        <v>731</v>
      </c>
      <c r="HC122" s="7">
        <v>519</v>
      </c>
      <c r="HD122" s="7">
        <v>467</v>
      </c>
      <c r="HE122" s="7">
        <v>431</v>
      </c>
      <c r="HF122" s="7">
        <v>442</v>
      </c>
      <c r="HG122" s="7">
        <v>394</v>
      </c>
      <c r="HH122" s="7">
        <v>316</v>
      </c>
      <c r="HI122" s="7">
        <v>278</v>
      </c>
      <c r="HJ122" s="7">
        <v>209</v>
      </c>
      <c r="HK122" s="7">
        <v>196</v>
      </c>
      <c r="HL122" s="7">
        <v>143</v>
      </c>
      <c r="HM122" s="7">
        <v>112</v>
      </c>
      <c r="HN122" s="7">
        <v>72</v>
      </c>
      <c r="HO122" s="7">
        <v>33</v>
      </c>
      <c r="HP122" s="7">
        <v>27</v>
      </c>
      <c r="HQ122" s="7">
        <v>6552</v>
      </c>
      <c r="HR122" s="7">
        <v>2</v>
      </c>
      <c r="HS122" s="7">
        <v>20</v>
      </c>
      <c r="HT122" s="7">
        <v>1</v>
      </c>
      <c r="HU122" s="7">
        <v>1</v>
      </c>
      <c r="HV122" s="7">
        <v>0</v>
      </c>
      <c r="HW122" s="7">
        <v>0</v>
      </c>
      <c r="HX122" s="7">
        <v>30</v>
      </c>
      <c r="HY122" s="7">
        <v>553</v>
      </c>
      <c r="HZ122" s="7">
        <v>874</v>
      </c>
      <c r="IA122" s="7">
        <v>1149</v>
      </c>
      <c r="IB122" s="7">
        <v>1381</v>
      </c>
      <c r="IC122" s="7">
        <v>1113</v>
      </c>
      <c r="ID122" s="7">
        <v>683</v>
      </c>
      <c r="IE122" s="7">
        <v>391</v>
      </c>
      <c r="IF122" s="7">
        <v>211</v>
      </c>
      <c r="IG122" s="7">
        <v>248</v>
      </c>
      <c r="IH122" s="7">
        <v>1258</v>
      </c>
      <c r="II122" s="7">
        <v>2381</v>
      </c>
      <c r="IJ122" s="7">
        <v>1624</v>
      </c>
      <c r="IK122" s="7">
        <v>855</v>
      </c>
      <c r="IL122" s="7">
        <v>307</v>
      </c>
      <c r="IM122" s="7">
        <v>103</v>
      </c>
      <c r="IN122" s="7">
        <v>21</v>
      </c>
      <c r="IO122" s="7">
        <v>20</v>
      </c>
      <c r="IP122" s="7">
        <v>6</v>
      </c>
      <c r="IQ122" s="7">
        <v>3815</v>
      </c>
      <c r="IR122" s="7">
        <v>2082</v>
      </c>
      <c r="IS122" s="7">
        <v>550</v>
      </c>
      <c r="IT122" s="7">
        <v>112</v>
      </c>
      <c r="IU122" s="7">
        <v>21</v>
      </c>
      <c r="IV122" s="7">
        <v>2035</v>
      </c>
      <c r="IW122" s="7">
        <v>808</v>
      </c>
      <c r="IX122" s="7">
        <v>128</v>
      </c>
      <c r="IY122" s="7">
        <v>103</v>
      </c>
      <c r="IZ122" s="7">
        <v>3</v>
      </c>
      <c r="JA122" s="7">
        <v>3495</v>
      </c>
      <c r="JB122" s="7">
        <v>2645</v>
      </c>
      <c r="JC122" s="7">
        <v>2997</v>
      </c>
      <c r="JD122" s="7">
        <v>73</v>
      </c>
      <c r="JE122" s="7">
        <v>76</v>
      </c>
      <c r="JF122" s="151">
        <v>5903.3462319313467</v>
      </c>
      <c r="JG122" s="151">
        <v>673.89689046073613</v>
      </c>
      <c r="JH122" s="7">
        <v>1481</v>
      </c>
      <c r="JI122" s="7">
        <v>4945</v>
      </c>
      <c r="JJ122" s="7">
        <v>144</v>
      </c>
      <c r="JK122" s="7">
        <v>33</v>
      </c>
      <c r="JL122" s="7">
        <v>4332</v>
      </c>
      <c r="JM122" s="7">
        <v>2488</v>
      </c>
      <c r="JN122" s="7">
        <v>972</v>
      </c>
      <c r="JO122" s="7">
        <v>4467</v>
      </c>
      <c r="JP122" s="7">
        <v>5374</v>
      </c>
      <c r="JQ122" s="7">
        <v>341</v>
      </c>
      <c r="JR122" s="7">
        <v>926</v>
      </c>
      <c r="JS122" s="7">
        <v>2190</v>
      </c>
      <c r="JT122" s="7">
        <v>137</v>
      </c>
      <c r="JU122" s="151">
        <v>378.85981192451789</v>
      </c>
      <c r="JV122" s="151">
        <v>5333.1622149849472</v>
      </c>
      <c r="JW122" s="151">
        <v>162.67293174508987</v>
      </c>
      <c r="JX122" s="151">
        <v>28.651273276791663</v>
      </c>
      <c r="JY122" s="7">
        <v>6380</v>
      </c>
      <c r="JZ122" s="7">
        <v>27698</v>
      </c>
      <c r="KA122" s="7">
        <v>4</v>
      </c>
      <c r="KB122" s="7">
        <v>59</v>
      </c>
      <c r="KC122" s="7">
        <v>4</v>
      </c>
      <c r="KD122" s="7">
        <v>4</v>
      </c>
      <c r="KE122" s="7">
        <v>0</v>
      </c>
      <c r="KF122" s="7">
        <v>0</v>
      </c>
      <c r="KG122" s="7">
        <v>127</v>
      </c>
      <c r="KH122" s="7">
        <v>6462</v>
      </c>
      <c r="KI122" s="7">
        <v>20736</v>
      </c>
      <c r="KJ122" s="7">
        <v>568</v>
      </c>
      <c r="KK122" s="7">
        <v>120</v>
      </c>
      <c r="KL122" s="7">
        <v>1600</v>
      </c>
      <c r="KM122" s="7">
        <v>22523</v>
      </c>
      <c r="KN122" s="7">
        <v>687</v>
      </c>
      <c r="KO122" s="7">
        <v>121</v>
      </c>
      <c r="KP122" s="7">
        <v>24931</v>
      </c>
      <c r="KQ122" s="7">
        <v>2846</v>
      </c>
      <c r="KR122" s="7">
        <v>4199</v>
      </c>
      <c r="KS122" s="7">
        <v>4199</v>
      </c>
      <c r="KT122" s="7">
        <v>714</v>
      </c>
      <c r="KU122" s="7">
        <v>306</v>
      </c>
      <c r="KV122" s="7">
        <v>810</v>
      </c>
      <c r="KW122" s="7">
        <v>0</v>
      </c>
      <c r="KX122" s="7">
        <v>702</v>
      </c>
      <c r="KY122" s="7">
        <v>317</v>
      </c>
      <c r="KZ122" s="7">
        <v>793</v>
      </c>
      <c r="LA122" s="7">
        <v>0</v>
      </c>
      <c r="LB122" s="7">
        <v>2437</v>
      </c>
      <c r="LC122" s="7">
        <v>2468</v>
      </c>
      <c r="LD122" s="7">
        <v>1227</v>
      </c>
      <c r="LE122" s="7">
        <v>1831</v>
      </c>
      <c r="LF122" s="7">
        <v>18400</v>
      </c>
      <c r="LG122" s="7">
        <v>28</v>
      </c>
      <c r="LH122" s="7">
        <v>3597</v>
      </c>
      <c r="LI122" s="7">
        <v>606</v>
      </c>
      <c r="LJ122" s="7">
        <v>1499</v>
      </c>
      <c r="LK122" s="7">
        <v>4</v>
      </c>
      <c r="LL122" s="7">
        <v>1456</v>
      </c>
      <c r="LM122" s="7">
        <v>414</v>
      </c>
      <c r="LN122" s="7">
        <v>29</v>
      </c>
      <c r="LO122" s="7">
        <v>3757</v>
      </c>
      <c r="LP122" s="7">
        <v>549</v>
      </c>
      <c r="LQ122" s="7">
        <v>1474</v>
      </c>
      <c r="LR122" s="7">
        <v>6</v>
      </c>
      <c r="LS122" s="7">
        <v>1387</v>
      </c>
      <c r="LT122" s="7">
        <v>309</v>
      </c>
      <c r="LU122" s="232">
        <v>5.9762674704999998</v>
      </c>
      <c r="LV122" s="232">
        <v>6.2122699387000004</v>
      </c>
      <c r="LW122" s="232">
        <v>5.7482758620999999</v>
      </c>
      <c r="LX122" s="7">
        <v>6603</v>
      </c>
      <c r="LY122" s="7">
        <v>27886</v>
      </c>
    </row>
    <row r="123" spans="1:337" x14ac:dyDescent="0.25">
      <c r="A123" t="s">
        <v>248</v>
      </c>
      <c r="B123" t="s">
        <v>249</v>
      </c>
      <c r="C123" s="7">
        <v>68685</v>
      </c>
      <c r="D123">
        <v>74477</v>
      </c>
      <c r="F123">
        <f t="shared" si="6"/>
        <v>-74477</v>
      </c>
      <c r="G123">
        <f t="shared" si="7"/>
        <v>-100</v>
      </c>
      <c r="H123">
        <v>36798</v>
      </c>
      <c r="I123">
        <v>37679</v>
      </c>
      <c r="J123">
        <v>44898</v>
      </c>
      <c r="K123">
        <v>29579</v>
      </c>
      <c r="L123" s="7">
        <v>3803</v>
      </c>
      <c r="M123" s="7">
        <v>3961</v>
      </c>
      <c r="N123" s="7">
        <v>4318</v>
      </c>
      <c r="O123" s="7">
        <v>4186</v>
      </c>
      <c r="P123" s="7">
        <v>3084</v>
      </c>
      <c r="Q123" s="7">
        <v>2535</v>
      </c>
      <c r="R123" s="7">
        <v>2391</v>
      </c>
      <c r="S123" s="7">
        <v>2459</v>
      </c>
      <c r="T123" s="7">
        <v>2136</v>
      </c>
      <c r="U123" s="7">
        <v>1774</v>
      </c>
      <c r="V123" s="7">
        <v>1517</v>
      </c>
      <c r="W123" s="7">
        <v>1308</v>
      </c>
      <c r="X123" s="7">
        <v>1065</v>
      </c>
      <c r="Y123" s="7">
        <v>2234</v>
      </c>
      <c r="Z123" s="7">
        <v>27</v>
      </c>
      <c r="AA123" s="7">
        <v>3800</v>
      </c>
      <c r="AB123" s="7">
        <v>3757</v>
      </c>
      <c r="AC123" s="7">
        <v>4231</v>
      </c>
      <c r="AD123" s="7">
        <v>4278</v>
      </c>
      <c r="AE123" s="7">
        <v>3419</v>
      </c>
      <c r="AF123" s="7">
        <v>2947</v>
      </c>
      <c r="AG123" s="7">
        <v>2775</v>
      </c>
      <c r="AH123" s="7">
        <v>2686</v>
      </c>
      <c r="AI123" s="7">
        <v>2147</v>
      </c>
      <c r="AJ123" s="7">
        <v>1849</v>
      </c>
      <c r="AK123" s="7">
        <v>1537</v>
      </c>
      <c r="AL123" s="7">
        <v>1182</v>
      </c>
      <c r="AM123" s="7">
        <v>986</v>
      </c>
      <c r="AN123" s="7">
        <v>2053</v>
      </c>
      <c r="AO123" s="7">
        <v>32</v>
      </c>
      <c r="AP123">
        <v>73803</v>
      </c>
      <c r="AQ123">
        <v>324</v>
      </c>
      <c r="AR123">
        <v>75</v>
      </c>
      <c r="AS123">
        <v>13</v>
      </c>
      <c r="AT123">
        <v>262</v>
      </c>
      <c r="AU123" s="7">
        <v>4274</v>
      </c>
      <c r="AV123" s="7">
        <v>2210</v>
      </c>
      <c r="AW123" s="7">
        <v>2064</v>
      </c>
      <c r="AX123" s="7">
        <v>3317</v>
      </c>
      <c r="AY123" s="7">
        <v>4274</v>
      </c>
      <c r="AZ123" s="7">
        <v>4035</v>
      </c>
      <c r="BA123" s="7">
        <v>239</v>
      </c>
      <c r="BB123" s="7">
        <v>159</v>
      </c>
      <c r="BC123" s="7">
        <v>149</v>
      </c>
      <c r="BD123" s="7">
        <v>381</v>
      </c>
      <c r="BE123" s="7">
        <v>361</v>
      </c>
      <c r="BF123" s="7">
        <v>346</v>
      </c>
      <c r="BG123" s="7">
        <v>342</v>
      </c>
      <c r="BH123" s="7">
        <v>295</v>
      </c>
      <c r="BI123" s="7">
        <v>316</v>
      </c>
      <c r="BJ123" s="7">
        <v>216</v>
      </c>
      <c r="BK123" s="7">
        <v>204</v>
      </c>
      <c r="BL123" s="7">
        <v>170</v>
      </c>
      <c r="BM123" s="7">
        <v>167</v>
      </c>
      <c r="BN123" s="7">
        <v>128</v>
      </c>
      <c r="BO123" s="7">
        <v>112</v>
      </c>
      <c r="BP123" s="7">
        <v>125</v>
      </c>
      <c r="BQ123" s="7">
        <v>126</v>
      </c>
      <c r="BR123" s="7">
        <v>91</v>
      </c>
      <c r="BS123" s="7">
        <v>75</v>
      </c>
      <c r="BT123" s="7">
        <v>91</v>
      </c>
      <c r="BU123" s="7">
        <v>68</v>
      </c>
      <c r="BV123" s="7">
        <v>59</v>
      </c>
      <c r="BW123" s="7">
        <v>43</v>
      </c>
      <c r="BX123" s="7">
        <v>51</v>
      </c>
      <c r="BY123" s="7">
        <v>36</v>
      </c>
      <c r="BZ123" s="7">
        <v>40</v>
      </c>
      <c r="CA123" s="7">
        <v>29</v>
      </c>
      <c r="CB123" s="7">
        <v>58</v>
      </c>
      <c r="CC123" s="7">
        <v>36</v>
      </c>
      <c r="CD123" s="7">
        <v>1837</v>
      </c>
      <c r="CE123" s="7">
        <v>1538</v>
      </c>
      <c r="CF123" s="7">
        <v>305</v>
      </c>
      <c r="CG123" s="7">
        <v>458</v>
      </c>
      <c r="CH123" s="7">
        <v>14760</v>
      </c>
      <c r="CI123" s="7">
        <v>3274</v>
      </c>
      <c r="CJ123" s="7">
        <v>63196</v>
      </c>
      <c r="CK123" s="7">
        <v>11236</v>
      </c>
      <c r="CL123" s="7">
        <v>1151</v>
      </c>
      <c r="CM123" s="7">
        <v>2518</v>
      </c>
      <c r="CN123" s="7">
        <v>3467</v>
      </c>
      <c r="CO123" s="7">
        <v>4159</v>
      </c>
      <c r="CP123" s="7">
        <v>3275</v>
      </c>
      <c r="CQ123" s="7">
        <v>3464</v>
      </c>
      <c r="CR123" s="7">
        <v>13947</v>
      </c>
      <c r="CS123" s="7">
        <v>32669</v>
      </c>
      <c r="CT123" s="7">
        <v>5302</v>
      </c>
      <c r="CU123" s="7">
        <v>1631</v>
      </c>
      <c r="CV123" s="7">
        <v>544</v>
      </c>
      <c r="CW123" s="7">
        <v>1877</v>
      </c>
      <c r="CX123" s="7">
        <v>191</v>
      </c>
      <c r="CY123" s="7">
        <v>47382</v>
      </c>
      <c r="CZ123" s="7">
        <v>23974</v>
      </c>
      <c r="DA123" s="7">
        <v>658</v>
      </c>
      <c r="DB123" s="7">
        <v>1151</v>
      </c>
      <c r="DC123" s="7">
        <v>45</v>
      </c>
      <c r="DD123" s="7">
        <v>15175</v>
      </c>
      <c r="DE123" s="7">
        <v>3668</v>
      </c>
      <c r="DF123" s="7">
        <v>10736</v>
      </c>
      <c r="DG123" s="7">
        <v>6234</v>
      </c>
      <c r="DH123" s="7">
        <v>16958</v>
      </c>
      <c r="DI123" s="7">
        <v>21706</v>
      </c>
      <c r="DJ123" s="7">
        <v>0</v>
      </c>
      <c r="DK123" s="7">
        <v>0</v>
      </c>
      <c r="DL123" s="7">
        <v>1244</v>
      </c>
      <c r="DM123" s="7">
        <v>11</v>
      </c>
      <c r="DN123" s="7">
        <v>8</v>
      </c>
      <c r="DO123" s="7">
        <v>2</v>
      </c>
      <c r="DP123" s="7">
        <v>2</v>
      </c>
      <c r="DQ123" s="7">
        <v>2</v>
      </c>
      <c r="DR123" s="7">
        <v>0</v>
      </c>
      <c r="DS123" s="7">
        <v>0</v>
      </c>
      <c r="DT123" s="7">
        <v>877</v>
      </c>
      <c r="DU123" s="7">
        <v>894</v>
      </c>
      <c r="DV123" s="7">
        <v>487</v>
      </c>
      <c r="DW123" s="7">
        <v>497</v>
      </c>
      <c r="DX123" s="7">
        <v>246</v>
      </c>
      <c r="DY123" s="7">
        <v>154</v>
      </c>
      <c r="DZ123" s="7">
        <v>179</v>
      </c>
      <c r="EA123" s="7">
        <v>168</v>
      </c>
      <c r="EB123" s="7">
        <v>118</v>
      </c>
      <c r="EC123" s="7">
        <v>109</v>
      </c>
      <c r="ED123" s="7">
        <v>62</v>
      </c>
      <c r="EE123" s="7">
        <v>62</v>
      </c>
      <c r="EF123" s="7">
        <v>146</v>
      </c>
      <c r="EG123" s="7">
        <v>129</v>
      </c>
      <c r="EH123" s="7">
        <v>888</v>
      </c>
      <c r="EI123" s="7">
        <v>468</v>
      </c>
      <c r="EJ123" s="7">
        <v>188</v>
      </c>
      <c r="EK123" s="7">
        <v>166</v>
      </c>
      <c r="EL123" s="7">
        <v>129</v>
      </c>
      <c r="EM123" s="7">
        <v>56</v>
      </c>
      <c r="EN123" s="7">
        <v>120</v>
      </c>
      <c r="EO123" s="7">
        <v>21155</v>
      </c>
      <c r="EP123" s="7">
        <v>20683</v>
      </c>
      <c r="EQ123" s="7">
        <v>472</v>
      </c>
      <c r="ER123" s="7">
        <v>5897</v>
      </c>
      <c r="ES123" s="7">
        <v>4135</v>
      </c>
      <c r="ET123" s="7">
        <v>4071</v>
      </c>
      <c r="EU123" s="7">
        <v>64</v>
      </c>
      <c r="EV123" s="7">
        <v>24202</v>
      </c>
      <c r="EW123" s="134">
        <v>57.484299462000003</v>
      </c>
      <c r="EX123" s="134">
        <v>12.759228302</v>
      </c>
      <c r="EY123" s="134">
        <v>10.418831609</v>
      </c>
      <c r="EZ123" s="134">
        <v>18.650883296</v>
      </c>
      <c r="FA123" s="134">
        <v>0.6867573307</v>
      </c>
      <c r="FB123" s="7">
        <v>4816</v>
      </c>
      <c r="FC123" s="7">
        <v>9953</v>
      </c>
      <c r="FD123" s="7">
        <v>797</v>
      </c>
      <c r="FE123" s="7">
        <v>4225</v>
      </c>
      <c r="FF123" s="7">
        <v>43</v>
      </c>
      <c r="FG123" s="7">
        <v>3262</v>
      </c>
      <c r="FH123" s="7">
        <v>2140</v>
      </c>
      <c r="FI123" s="134">
        <v>55.663488907999998</v>
      </c>
      <c r="FJ123" s="134">
        <v>26.584737722</v>
      </c>
      <c r="FK123" s="134">
        <v>12.908326933</v>
      </c>
      <c r="FL123" s="134">
        <v>4.8434464373999999</v>
      </c>
      <c r="FM123" s="151">
        <v>16429</v>
      </c>
      <c r="FN123" s="151">
        <v>20242</v>
      </c>
      <c r="FO123" s="7">
        <v>1296</v>
      </c>
      <c r="FP123" s="7">
        <v>1070</v>
      </c>
      <c r="FQ123" s="7">
        <v>371</v>
      </c>
      <c r="FR123" s="7">
        <v>36</v>
      </c>
      <c r="FS123" s="7">
        <v>13593</v>
      </c>
      <c r="FT123" s="7">
        <v>34</v>
      </c>
      <c r="FU123" s="7">
        <v>102</v>
      </c>
      <c r="FV123" s="7">
        <v>127</v>
      </c>
      <c r="FW123" s="7">
        <v>18133</v>
      </c>
      <c r="FX123" s="7">
        <v>19407</v>
      </c>
      <c r="FY123" s="7">
        <v>1264</v>
      </c>
      <c r="FZ123" s="7">
        <v>1157</v>
      </c>
      <c r="GA123" s="7">
        <v>420</v>
      </c>
      <c r="GB123" s="7">
        <v>43</v>
      </c>
      <c r="GC123" s="7">
        <v>15196</v>
      </c>
      <c r="GD123" s="7">
        <v>25</v>
      </c>
      <c r="GE123" s="7">
        <v>108</v>
      </c>
      <c r="GF123" s="7">
        <v>139</v>
      </c>
      <c r="GG123" s="7">
        <v>1773</v>
      </c>
      <c r="GH123" s="7">
        <v>1906</v>
      </c>
      <c r="GI123" s="7">
        <v>2024</v>
      </c>
      <c r="GJ123" s="7">
        <v>1764</v>
      </c>
      <c r="GK123" s="7">
        <v>1092</v>
      </c>
      <c r="GL123" s="7">
        <v>1030</v>
      </c>
      <c r="GM123" s="7">
        <v>1101</v>
      </c>
      <c r="GN123" s="7">
        <v>1095</v>
      </c>
      <c r="GO123" s="7">
        <v>1008</v>
      </c>
      <c r="GP123" s="7">
        <v>825</v>
      </c>
      <c r="GQ123" s="7">
        <v>675</v>
      </c>
      <c r="GR123" s="7">
        <v>602</v>
      </c>
      <c r="GS123" s="7">
        <v>478</v>
      </c>
      <c r="GT123" s="7">
        <v>357</v>
      </c>
      <c r="GU123" s="7">
        <v>321</v>
      </c>
      <c r="GV123" s="7">
        <v>170</v>
      </c>
      <c r="GW123" s="7">
        <v>106</v>
      </c>
      <c r="GX123" s="7">
        <v>100</v>
      </c>
      <c r="GY123" s="7">
        <v>1807</v>
      </c>
      <c r="GZ123" s="7">
        <v>1707</v>
      </c>
      <c r="HA123" s="7">
        <v>2015</v>
      </c>
      <c r="HB123" s="7">
        <v>1911</v>
      </c>
      <c r="HC123" s="7">
        <v>1507</v>
      </c>
      <c r="HD123" s="7">
        <v>1385</v>
      </c>
      <c r="HE123" s="7">
        <v>1410</v>
      </c>
      <c r="HF123" s="7">
        <v>1357</v>
      </c>
      <c r="HG123" s="7">
        <v>1107</v>
      </c>
      <c r="HH123" s="7">
        <v>926</v>
      </c>
      <c r="HI123" s="7">
        <v>779</v>
      </c>
      <c r="HJ123" s="7">
        <v>623</v>
      </c>
      <c r="HK123" s="7">
        <v>474</v>
      </c>
      <c r="HL123" s="7">
        <v>392</v>
      </c>
      <c r="HM123" s="7">
        <v>339</v>
      </c>
      <c r="HN123" s="7">
        <v>180</v>
      </c>
      <c r="HO123" s="7">
        <v>102</v>
      </c>
      <c r="HP123" s="7">
        <v>103</v>
      </c>
      <c r="HQ123" s="7">
        <v>17860</v>
      </c>
      <c r="HR123" s="7">
        <v>3</v>
      </c>
      <c r="HS123" s="7">
        <v>14</v>
      </c>
      <c r="HT123" s="7">
        <v>5</v>
      </c>
      <c r="HU123" s="7">
        <v>6</v>
      </c>
      <c r="HV123" s="7">
        <v>2</v>
      </c>
      <c r="HW123" s="7">
        <v>1</v>
      </c>
      <c r="HX123" s="7">
        <v>156</v>
      </c>
      <c r="HY123" s="7">
        <v>1150</v>
      </c>
      <c r="HZ123" s="7">
        <v>2517</v>
      </c>
      <c r="IA123" s="7">
        <v>3466</v>
      </c>
      <c r="IB123" s="7">
        <v>4159</v>
      </c>
      <c r="IC123" s="7">
        <v>3272</v>
      </c>
      <c r="ID123" s="7">
        <v>1715</v>
      </c>
      <c r="IE123" s="7">
        <v>766</v>
      </c>
      <c r="IF123" s="7">
        <v>405</v>
      </c>
      <c r="IG123" s="7">
        <v>575</v>
      </c>
      <c r="IH123" s="7">
        <v>3271</v>
      </c>
      <c r="II123" s="7">
        <v>5882</v>
      </c>
      <c r="IJ123" s="7">
        <v>4554</v>
      </c>
      <c r="IK123" s="7">
        <v>2685</v>
      </c>
      <c r="IL123" s="7">
        <v>1027</v>
      </c>
      <c r="IM123" s="7">
        <v>333</v>
      </c>
      <c r="IN123" s="7">
        <v>85</v>
      </c>
      <c r="IO123" s="7">
        <v>32</v>
      </c>
      <c r="IP123" s="7">
        <v>29</v>
      </c>
      <c r="IQ123" s="7">
        <v>10559</v>
      </c>
      <c r="IR123" s="7">
        <v>5391</v>
      </c>
      <c r="IS123" s="7">
        <v>1627</v>
      </c>
      <c r="IT123" s="7">
        <v>281</v>
      </c>
      <c r="IU123" s="7">
        <v>65</v>
      </c>
      <c r="IV123" s="7">
        <v>5766</v>
      </c>
      <c r="IW123" s="7">
        <v>6518</v>
      </c>
      <c r="IX123" s="7">
        <v>810</v>
      </c>
      <c r="IY123" s="7">
        <v>407</v>
      </c>
      <c r="IZ123" s="7">
        <v>263</v>
      </c>
      <c r="JA123" s="7">
        <v>4187</v>
      </c>
      <c r="JB123" s="7">
        <v>10189</v>
      </c>
      <c r="JC123" s="7">
        <v>5355</v>
      </c>
      <c r="JD123" s="7">
        <v>390</v>
      </c>
      <c r="JE123" s="7">
        <v>63</v>
      </c>
      <c r="JF123" s="151">
        <v>15883.449651892332</v>
      </c>
      <c r="JG123" s="151">
        <v>2083.4368106141642</v>
      </c>
      <c r="JH123" s="7">
        <v>2835</v>
      </c>
      <c r="JI123" s="7">
        <v>14404</v>
      </c>
      <c r="JJ123" s="7">
        <v>714</v>
      </c>
      <c r="JK123" s="7">
        <v>72</v>
      </c>
      <c r="JL123" s="7">
        <v>12431</v>
      </c>
      <c r="JM123" s="7">
        <v>8825</v>
      </c>
      <c r="JN123" s="7">
        <v>3596</v>
      </c>
      <c r="JO123" s="7">
        <v>13057</v>
      </c>
      <c r="JP123" s="7">
        <v>15551</v>
      </c>
      <c r="JQ123" s="7">
        <v>1386</v>
      </c>
      <c r="JR123" s="7">
        <v>3191</v>
      </c>
      <c r="JS123" s="7">
        <v>6165</v>
      </c>
      <c r="JT123" s="7">
        <v>503</v>
      </c>
      <c r="JU123" s="151">
        <v>3231.6409094047822</v>
      </c>
      <c r="JV123" s="151">
        <v>12396.436908740912</v>
      </c>
      <c r="JW123" s="151">
        <v>209.094774690083</v>
      </c>
      <c r="JX123" s="151">
        <v>46.277059056553711</v>
      </c>
      <c r="JY123" s="7">
        <v>17110</v>
      </c>
      <c r="JZ123" s="7">
        <v>73756</v>
      </c>
      <c r="KA123" s="7">
        <v>7</v>
      </c>
      <c r="KB123" s="7">
        <v>54</v>
      </c>
      <c r="KC123" s="7">
        <v>18</v>
      </c>
      <c r="KD123" s="7">
        <v>24</v>
      </c>
      <c r="KE123" s="7">
        <v>21</v>
      </c>
      <c r="KF123" s="7">
        <v>5</v>
      </c>
      <c r="KG123" s="7">
        <v>586</v>
      </c>
      <c r="KH123" s="7">
        <v>12372</v>
      </c>
      <c r="KI123" s="7">
        <v>58955</v>
      </c>
      <c r="KJ123" s="7">
        <v>2792</v>
      </c>
      <c r="KK123" s="7">
        <v>263</v>
      </c>
      <c r="KL123" s="7">
        <v>13338</v>
      </c>
      <c r="KM123" s="7">
        <v>51164</v>
      </c>
      <c r="KN123" s="7">
        <v>863</v>
      </c>
      <c r="KO123" s="7">
        <v>191</v>
      </c>
      <c r="KP123" s="7">
        <v>65556</v>
      </c>
      <c r="KQ123" s="7">
        <v>8599</v>
      </c>
      <c r="KR123" s="7">
        <v>10732</v>
      </c>
      <c r="KS123" s="7">
        <v>10732</v>
      </c>
      <c r="KT123" s="7">
        <v>1959</v>
      </c>
      <c r="KU123" s="7">
        <v>674</v>
      </c>
      <c r="KV123" s="7">
        <v>1899</v>
      </c>
      <c r="KW123" s="7">
        <v>4</v>
      </c>
      <c r="KX123" s="7">
        <v>1879</v>
      </c>
      <c r="KY123" s="7">
        <v>773</v>
      </c>
      <c r="KZ123" s="7">
        <v>1843</v>
      </c>
      <c r="LA123" s="7">
        <v>7</v>
      </c>
      <c r="LB123" s="7">
        <v>5923</v>
      </c>
      <c r="LC123" s="7">
        <v>5857</v>
      </c>
      <c r="LD123" s="7">
        <v>4536</v>
      </c>
      <c r="LE123" s="7">
        <v>5637</v>
      </c>
      <c r="LF123" s="7">
        <v>50548</v>
      </c>
      <c r="LG123" s="7">
        <v>98</v>
      </c>
      <c r="LH123" s="7">
        <v>8947</v>
      </c>
      <c r="LI123" s="7">
        <v>1251</v>
      </c>
      <c r="LJ123" s="7">
        <v>3918</v>
      </c>
      <c r="LK123" s="7">
        <v>35</v>
      </c>
      <c r="LL123" s="7">
        <v>3704</v>
      </c>
      <c r="LM123" s="7">
        <v>1904</v>
      </c>
      <c r="LN123" s="7">
        <v>98</v>
      </c>
      <c r="LO123" s="7">
        <v>9937</v>
      </c>
      <c r="LP123" s="7">
        <v>1170</v>
      </c>
      <c r="LQ123" s="7">
        <v>4463</v>
      </c>
      <c r="LR123" s="7">
        <v>64</v>
      </c>
      <c r="LS123" s="7">
        <v>3263</v>
      </c>
      <c r="LT123" s="7">
        <v>1279</v>
      </c>
      <c r="LU123" s="232">
        <v>5.9899848979000003</v>
      </c>
      <c r="LV123" s="232">
        <v>6.2457482301000002</v>
      </c>
      <c r="LW123" s="232">
        <v>5.7458245941000001</v>
      </c>
      <c r="LX123" s="7">
        <v>18025</v>
      </c>
      <c r="LY123" s="7">
        <v>74382</v>
      </c>
    </row>
    <row r="124" spans="1:337" x14ac:dyDescent="0.25">
      <c r="A124" t="s">
        <v>250</v>
      </c>
      <c r="B124" t="s">
        <v>251</v>
      </c>
      <c r="C124" s="7">
        <v>85957</v>
      </c>
      <c r="D124">
        <v>98618</v>
      </c>
      <c r="F124">
        <f t="shared" si="6"/>
        <v>-98618</v>
      </c>
      <c r="G124">
        <f t="shared" si="7"/>
        <v>-100</v>
      </c>
      <c r="H124">
        <v>48595</v>
      </c>
      <c r="I124">
        <v>50023</v>
      </c>
      <c r="J124">
        <v>67337</v>
      </c>
      <c r="K124">
        <v>31281</v>
      </c>
      <c r="L124" s="7">
        <v>4993</v>
      </c>
      <c r="M124" s="7">
        <v>5026</v>
      </c>
      <c r="N124" s="7">
        <v>5407</v>
      </c>
      <c r="O124" s="7">
        <v>5382</v>
      </c>
      <c r="P124" s="7">
        <v>4241</v>
      </c>
      <c r="Q124" s="7">
        <v>3517</v>
      </c>
      <c r="R124" s="7">
        <v>3313</v>
      </c>
      <c r="S124" s="7">
        <v>3381</v>
      </c>
      <c r="T124" s="7">
        <v>2871</v>
      </c>
      <c r="U124" s="7">
        <v>2428</v>
      </c>
      <c r="V124" s="7">
        <v>2014</v>
      </c>
      <c r="W124" s="7">
        <v>1724</v>
      </c>
      <c r="X124" s="7">
        <v>1301</v>
      </c>
      <c r="Y124" s="7">
        <v>2918</v>
      </c>
      <c r="Z124" s="7">
        <v>79</v>
      </c>
      <c r="AA124" s="7">
        <v>4841</v>
      </c>
      <c r="AB124" s="7">
        <v>4963</v>
      </c>
      <c r="AC124" s="7">
        <v>5164</v>
      </c>
      <c r="AD124" s="7">
        <v>5277</v>
      </c>
      <c r="AE124" s="7">
        <v>4626</v>
      </c>
      <c r="AF124" s="7">
        <v>4080</v>
      </c>
      <c r="AG124" s="7">
        <v>3822</v>
      </c>
      <c r="AH124" s="7">
        <v>3771</v>
      </c>
      <c r="AI124" s="7">
        <v>2973</v>
      </c>
      <c r="AJ124" s="7">
        <v>2445</v>
      </c>
      <c r="AK124" s="7">
        <v>2044</v>
      </c>
      <c r="AL124" s="7">
        <v>1608</v>
      </c>
      <c r="AM124" s="7">
        <v>1332</v>
      </c>
      <c r="AN124" s="7">
        <v>2993</v>
      </c>
      <c r="AO124" s="7">
        <v>84</v>
      </c>
      <c r="AP124">
        <v>97024</v>
      </c>
      <c r="AQ124">
        <v>1148</v>
      </c>
      <c r="AR124">
        <v>34</v>
      </c>
      <c r="AS124">
        <v>40</v>
      </c>
      <c r="AT124">
        <v>372</v>
      </c>
      <c r="AU124" s="7">
        <v>2160</v>
      </c>
      <c r="AV124" s="7">
        <v>1174</v>
      </c>
      <c r="AW124" s="7">
        <v>986</v>
      </c>
      <c r="AX124" s="7">
        <v>1259</v>
      </c>
      <c r="AY124" s="7">
        <v>2160</v>
      </c>
      <c r="AZ124" s="7">
        <v>1820</v>
      </c>
      <c r="BA124" s="7">
        <v>340</v>
      </c>
      <c r="BB124" s="7">
        <v>57</v>
      </c>
      <c r="BC124" s="7">
        <v>61</v>
      </c>
      <c r="BD124" s="7">
        <v>148</v>
      </c>
      <c r="BE124" s="7">
        <v>145</v>
      </c>
      <c r="BF124" s="7">
        <v>146</v>
      </c>
      <c r="BG124" s="7">
        <v>131</v>
      </c>
      <c r="BH124" s="7">
        <v>151</v>
      </c>
      <c r="BI124" s="7">
        <v>119</v>
      </c>
      <c r="BJ124" s="7">
        <v>109</v>
      </c>
      <c r="BK124" s="7">
        <v>120</v>
      </c>
      <c r="BL124" s="7">
        <v>118</v>
      </c>
      <c r="BM124" s="7">
        <v>79</v>
      </c>
      <c r="BN124" s="7">
        <v>70</v>
      </c>
      <c r="BO124" s="7">
        <v>61</v>
      </c>
      <c r="BP124" s="7">
        <v>96</v>
      </c>
      <c r="BQ124" s="7">
        <v>61</v>
      </c>
      <c r="BR124" s="7">
        <v>70</v>
      </c>
      <c r="BS124" s="7">
        <v>40</v>
      </c>
      <c r="BT124" s="7">
        <v>53</v>
      </c>
      <c r="BU124" s="7">
        <v>54</v>
      </c>
      <c r="BV124" s="7">
        <v>45</v>
      </c>
      <c r="BW124" s="7">
        <v>31</v>
      </c>
      <c r="BX124" s="7">
        <v>31</v>
      </c>
      <c r="BY124" s="7">
        <v>34</v>
      </c>
      <c r="BZ124" s="7">
        <v>26</v>
      </c>
      <c r="CA124" s="7">
        <v>17</v>
      </c>
      <c r="CB124" s="7">
        <v>54</v>
      </c>
      <c r="CC124" s="7">
        <v>33</v>
      </c>
      <c r="CD124" s="7">
        <v>979</v>
      </c>
      <c r="CE124" s="7">
        <v>774</v>
      </c>
      <c r="CF124" s="7">
        <v>89</v>
      </c>
      <c r="CG124" s="7">
        <v>113</v>
      </c>
      <c r="CH124" s="7">
        <v>19314</v>
      </c>
      <c r="CI124" s="7">
        <v>4892</v>
      </c>
      <c r="CJ124" s="7">
        <v>81312</v>
      </c>
      <c r="CK124" s="7">
        <v>16777</v>
      </c>
      <c r="CL124" s="7">
        <v>1703</v>
      </c>
      <c r="CM124" s="7">
        <v>3491</v>
      </c>
      <c r="CN124" s="7">
        <v>4589</v>
      </c>
      <c r="CO124" s="7">
        <v>5708</v>
      </c>
      <c r="CP124" s="7">
        <v>4338</v>
      </c>
      <c r="CQ124" s="7">
        <v>4377</v>
      </c>
      <c r="CR124" s="7">
        <v>18232</v>
      </c>
      <c r="CS124" s="7">
        <v>41850</v>
      </c>
      <c r="CT124" s="7">
        <v>7074</v>
      </c>
      <c r="CU124" s="7">
        <v>2364</v>
      </c>
      <c r="CV124" s="7">
        <v>812</v>
      </c>
      <c r="CW124" s="7">
        <v>2812</v>
      </c>
      <c r="CX124" s="7">
        <v>421</v>
      </c>
      <c r="CY124" s="7">
        <v>60495</v>
      </c>
      <c r="CZ124" s="7">
        <v>33034</v>
      </c>
      <c r="DA124" s="7">
        <v>1229</v>
      </c>
      <c r="DB124" s="7">
        <v>1703</v>
      </c>
      <c r="DC124" s="7">
        <v>161</v>
      </c>
      <c r="DD124" s="7">
        <v>10745</v>
      </c>
      <c r="DE124" s="7">
        <v>3112</v>
      </c>
      <c r="DF124" s="7">
        <v>17424</v>
      </c>
      <c r="DG124" s="7">
        <v>23376</v>
      </c>
      <c r="DH124" s="7">
        <v>6724</v>
      </c>
      <c r="DI124" s="7">
        <v>37237</v>
      </c>
      <c r="DJ124" s="7">
        <v>0</v>
      </c>
      <c r="DK124" s="7">
        <v>0</v>
      </c>
      <c r="DL124" s="7">
        <v>1022</v>
      </c>
      <c r="DM124" s="7">
        <v>9</v>
      </c>
      <c r="DN124" s="7">
        <v>18</v>
      </c>
      <c r="DO124" s="7">
        <v>7</v>
      </c>
      <c r="DP124" s="7">
        <v>1</v>
      </c>
      <c r="DQ124" s="7">
        <v>1</v>
      </c>
      <c r="DR124" s="7">
        <v>0</v>
      </c>
      <c r="DS124" s="7">
        <v>0</v>
      </c>
      <c r="DT124" s="7">
        <v>798</v>
      </c>
      <c r="DU124" s="7">
        <v>721</v>
      </c>
      <c r="DV124" s="7">
        <v>429</v>
      </c>
      <c r="DW124" s="7">
        <v>431</v>
      </c>
      <c r="DX124" s="7">
        <v>162</v>
      </c>
      <c r="DY124" s="7">
        <v>106</v>
      </c>
      <c r="DZ124" s="7">
        <v>172</v>
      </c>
      <c r="EA124" s="7">
        <v>145</v>
      </c>
      <c r="EB124" s="7">
        <v>68</v>
      </c>
      <c r="EC124" s="7">
        <v>56</v>
      </c>
      <c r="ED124" s="7">
        <v>64</v>
      </c>
      <c r="EE124" s="7">
        <v>42</v>
      </c>
      <c r="EF124" s="7">
        <v>204</v>
      </c>
      <c r="EG124" s="7">
        <v>156</v>
      </c>
      <c r="EH124" s="7">
        <v>936</v>
      </c>
      <c r="EI124" s="7">
        <v>533</v>
      </c>
      <c r="EJ124" s="7">
        <v>161</v>
      </c>
      <c r="EK124" s="7">
        <v>166</v>
      </c>
      <c r="EL124" s="7">
        <v>72</v>
      </c>
      <c r="EM124" s="7">
        <v>56</v>
      </c>
      <c r="EN124" s="7">
        <v>171</v>
      </c>
      <c r="EO124" s="7">
        <v>28623</v>
      </c>
      <c r="EP124" s="7">
        <v>28019</v>
      </c>
      <c r="EQ124" s="7">
        <v>604</v>
      </c>
      <c r="ER124" s="7">
        <v>7551</v>
      </c>
      <c r="ES124" s="7">
        <v>8555</v>
      </c>
      <c r="ET124" s="7">
        <v>8370</v>
      </c>
      <c r="EU124" s="7">
        <v>185</v>
      </c>
      <c r="EV124" s="7">
        <v>29379</v>
      </c>
      <c r="EW124" s="134">
        <v>41.449515906000002</v>
      </c>
      <c r="EX124" s="134">
        <v>15.593360995999999</v>
      </c>
      <c r="EY124" s="134">
        <v>14.271092669</v>
      </c>
      <c r="EZ124" s="134">
        <v>27.715076071999999</v>
      </c>
      <c r="FA124" s="134">
        <v>0.97095435679999997</v>
      </c>
      <c r="FB124" s="7">
        <v>4902</v>
      </c>
      <c r="FC124" s="7">
        <v>14034</v>
      </c>
      <c r="FD124" s="7">
        <v>1411</v>
      </c>
      <c r="FE124" s="7">
        <v>6164</v>
      </c>
      <c r="FF124" s="7">
        <v>160</v>
      </c>
      <c r="FG124" s="7">
        <v>5392</v>
      </c>
      <c r="FH124" s="7">
        <v>5005</v>
      </c>
      <c r="FI124" s="134">
        <v>44.802213000999998</v>
      </c>
      <c r="FJ124" s="134">
        <v>27.095435685000002</v>
      </c>
      <c r="FK124" s="134">
        <v>19.421853388999999</v>
      </c>
      <c r="FL124" s="134">
        <v>8.6804979252999992</v>
      </c>
      <c r="FM124" s="151">
        <v>26000</v>
      </c>
      <c r="FN124" s="151">
        <v>22403</v>
      </c>
      <c r="FO124" s="7">
        <v>5595</v>
      </c>
      <c r="FP124" s="7">
        <v>2132</v>
      </c>
      <c r="FQ124" s="7">
        <v>570</v>
      </c>
      <c r="FR124" s="7">
        <v>32</v>
      </c>
      <c r="FS124" s="7">
        <v>16962</v>
      </c>
      <c r="FT124" s="7">
        <v>134</v>
      </c>
      <c r="FU124" s="7">
        <v>671</v>
      </c>
      <c r="FV124" s="7">
        <v>192</v>
      </c>
      <c r="FW124" s="7">
        <v>28684</v>
      </c>
      <c r="FX124" s="7">
        <v>21155</v>
      </c>
      <c r="FY124" s="7">
        <v>5817</v>
      </c>
      <c r="FZ124" s="7">
        <v>2361</v>
      </c>
      <c r="GA124" s="7">
        <v>722</v>
      </c>
      <c r="GB124" s="7">
        <v>47</v>
      </c>
      <c r="GC124" s="7">
        <v>19349</v>
      </c>
      <c r="GD124" s="7">
        <v>120</v>
      </c>
      <c r="GE124" s="7">
        <v>375</v>
      </c>
      <c r="GF124" s="7">
        <v>184</v>
      </c>
      <c r="GG124" s="7">
        <v>2795</v>
      </c>
      <c r="GH124" s="7">
        <v>2793</v>
      </c>
      <c r="GI124" s="7">
        <v>3063</v>
      </c>
      <c r="GJ124" s="7">
        <v>2806</v>
      </c>
      <c r="GK124" s="7">
        <v>1822</v>
      </c>
      <c r="GL124" s="7">
        <v>1713</v>
      </c>
      <c r="GM124" s="7">
        <v>1732</v>
      </c>
      <c r="GN124" s="7">
        <v>1918</v>
      </c>
      <c r="GO124" s="7">
        <v>1574</v>
      </c>
      <c r="GP124" s="7">
        <v>1306</v>
      </c>
      <c r="GQ124" s="7">
        <v>1053</v>
      </c>
      <c r="GR124" s="7">
        <v>891</v>
      </c>
      <c r="GS124" s="7">
        <v>703</v>
      </c>
      <c r="GT124" s="7">
        <v>576</v>
      </c>
      <c r="GU124" s="7">
        <v>555</v>
      </c>
      <c r="GV124" s="7">
        <v>351</v>
      </c>
      <c r="GW124" s="7">
        <v>182</v>
      </c>
      <c r="GX124" s="7">
        <v>165</v>
      </c>
      <c r="GY124" s="7">
        <v>2679</v>
      </c>
      <c r="GZ124" s="7">
        <v>2818</v>
      </c>
      <c r="HA124" s="7">
        <v>2969</v>
      </c>
      <c r="HB124" s="7">
        <v>2874</v>
      </c>
      <c r="HC124" s="7">
        <v>2396</v>
      </c>
      <c r="HD124" s="7">
        <v>2241</v>
      </c>
      <c r="HE124" s="7">
        <v>2297</v>
      </c>
      <c r="HF124" s="7">
        <v>2219</v>
      </c>
      <c r="HG124" s="7">
        <v>1753</v>
      </c>
      <c r="HH124" s="7">
        <v>1474</v>
      </c>
      <c r="HI124" s="7">
        <v>1202</v>
      </c>
      <c r="HJ124" s="7">
        <v>962</v>
      </c>
      <c r="HK124" s="7">
        <v>811</v>
      </c>
      <c r="HL124" s="7">
        <v>725</v>
      </c>
      <c r="HM124" s="7">
        <v>569</v>
      </c>
      <c r="HN124" s="7">
        <v>351</v>
      </c>
      <c r="HO124" s="7">
        <v>191</v>
      </c>
      <c r="HP124" s="7">
        <v>147</v>
      </c>
      <c r="HQ124" s="7">
        <v>23923</v>
      </c>
      <c r="HR124" s="7">
        <v>38</v>
      </c>
      <c r="HS124" s="7">
        <v>169</v>
      </c>
      <c r="HT124" s="7">
        <v>16</v>
      </c>
      <c r="HU124" s="7">
        <v>5</v>
      </c>
      <c r="HV124" s="7">
        <v>1</v>
      </c>
      <c r="HW124" s="7">
        <v>1</v>
      </c>
      <c r="HX124" s="7">
        <v>102</v>
      </c>
      <c r="HY124" s="7">
        <v>1703</v>
      </c>
      <c r="HZ124" s="7">
        <v>3490</v>
      </c>
      <c r="IA124" s="7">
        <v>4586</v>
      </c>
      <c r="IB124" s="7">
        <v>5706</v>
      </c>
      <c r="IC124" s="7">
        <v>4338</v>
      </c>
      <c r="ID124" s="7">
        <v>2252</v>
      </c>
      <c r="IE124" s="7">
        <v>925</v>
      </c>
      <c r="IF124" s="7">
        <v>525</v>
      </c>
      <c r="IG124" s="7">
        <v>674</v>
      </c>
      <c r="IH124" s="7">
        <v>3946</v>
      </c>
      <c r="II124" s="7">
        <v>6793</v>
      </c>
      <c r="IJ124" s="7">
        <v>6211</v>
      </c>
      <c r="IK124" s="7">
        <v>3976</v>
      </c>
      <c r="IL124" s="7">
        <v>1962</v>
      </c>
      <c r="IM124" s="7">
        <v>709</v>
      </c>
      <c r="IN124" s="7">
        <v>234</v>
      </c>
      <c r="IO124" s="7">
        <v>94</v>
      </c>
      <c r="IP124" s="7">
        <v>72</v>
      </c>
      <c r="IQ124" s="7">
        <v>13528</v>
      </c>
      <c r="IR124" s="7">
        <v>7503</v>
      </c>
      <c r="IS124" s="7">
        <v>2404</v>
      </c>
      <c r="IT124" s="7">
        <v>502</v>
      </c>
      <c r="IU124" s="7">
        <v>97</v>
      </c>
      <c r="IV124" s="7">
        <v>11286</v>
      </c>
      <c r="IW124" s="7">
        <v>6666</v>
      </c>
      <c r="IX124" s="7">
        <v>753</v>
      </c>
      <c r="IY124" s="7">
        <v>439</v>
      </c>
      <c r="IZ124" s="7">
        <v>169</v>
      </c>
      <c r="JA124" s="7">
        <v>4793</v>
      </c>
      <c r="JB124" s="7">
        <v>14981</v>
      </c>
      <c r="JC124" s="7">
        <v>6910</v>
      </c>
      <c r="JD124" s="7">
        <v>407</v>
      </c>
      <c r="JE124" s="7">
        <v>326</v>
      </c>
      <c r="JF124" s="151">
        <v>22923.751190693587</v>
      </c>
      <c r="JG124" s="151">
        <v>1192.4210193817769</v>
      </c>
      <c r="JH124" s="7">
        <v>2968</v>
      </c>
      <c r="JI124" s="7">
        <v>19354</v>
      </c>
      <c r="JJ124" s="7">
        <v>1790</v>
      </c>
      <c r="JK124" s="7">
        <v>87</v>
      </c>
      <c r="JL124" s="7">
        <v>18017</v>
      </c>
      <c r="JM124" s="7">
        <v>12359</v>
      </c>
      <c r="JN124" s="7">
        <v>5113</v>
      </c>
      <c r="JO124" s="7">
        <v>17613</v>
      </c>
      <c r="JP124" s="7">
        <v>21569</v>
      </c>
      <c r="JQ124" s="7">
        <v>2979</v>
      </c>
      <c r="JR124" s="7">
        <v>4439</v>
      </c>
      <c r="JS124" s="7">
        <v>11326</v>
      </c>
      <c r="JT124" s="7">
        <v>1413</v>
      </c>
      <c r="JU124" s="151">
        <v>4559.4310335467117</v>
      </c>
      <c r="JV124" s="151">
        <v>18127.168542985888</v>
      </c>
      <c r="JW124" s="151">
        <v>155.22202425313282</v>
      </c>
      <c r="JX124" s="151">
        <v>81.929589907853881</v>
      </c>
      <c r="JY124" s="7">
        <v>23639</v>
      </c>
      <c r="JZ124" s="7">
        <v>97121</v>
      </c>
      <c r="KA124" s="7">
        <v>119</v>
      </c>
      <c r="KB124" s="7">
        <v>546</v>
      </c>
      <c r="KC124" s="7">
        <v>71</v>
      </c>
      <c r="KD124" s="7">
        <v>16</v>
      </c>
      <c r="KE124" s="7">
        <v>6</v>
      </c>
      <c r="KF124" s="7">
        <v>3</v>
      </c>
      <c r="KG124" s="7">
        <v>354</v>
      </c>
      <c r="KH124" s="7">
        <v>12414</v>
      </c>
      <c r="KI124" s="7">
        <v>78518</v>
      </c>
      <c r="KJ124" s="7">
        <v>6742</v>
      </c>
      <c r="KK124" s="7">
        <v>390</v>
      </c>
      <c r="KL124" s="7">
        <v>18476</v>
      </c>
      <c r="KM124" s="7">
        <v>73456</v>
      </c>
      <c r="KN124" s="7">
        <v>629</v>
      </c>
      <c r="KO124" s="7">
        <v>332</v>
      </c>
      <c r="KP124" s="7">
        <v>92893</v>
      </c>
      <c r="KQ124" s="7">
        <v>4832</v>
      </c>
      <c r="KR124" s="7">
        <v>14241</v>
      </c>
      <c r="KS124" s="7">
        <v>14241</v>
      </c>
      <c r="KT124" s="7">
        <v>2551</v>
      </c>
      <c r="KU124" s="7">
        <v>921</v>
      </c>
      <c r="KV124" s="7">
        <v>2512</v>
      </c>
      <c r="KW124" s="7">
        <v>5</v>
      </c>
      <c r="KX124" s="7">
        <v>2504</v>
      </c>
      <c r="KY124" s="7">
        <v>936</v>
      </c>
      <c r="KZ124" s="7">
        <v>2482</v>
      </c>
      <c r="LA124" s="7">
        <v>5</v>
      </c>
      <c r="LB124" s="7">
        <v>7614</v>
      </c>
      <c r="LC124" s="7">
        <v>7496</v>
      </c>
      <c r="LD124" s="7">
        <v>4376</v>
      </c>
      <c r="LE124" s="7">
        <v>6078</v>
      </c>
      <c r="LF124" s="7">
        <v>68061</v>
      </c>
      <c r="LG124" s="7">
        <v>110</v>
      </c>
      <c r="LH124" s="7">
        <v>11810</v>
      </c>
      <c r="LI124" s="7">
        <v>1774</v>
      </c>
      <c r="LJ124" s="7">
        <v>5347</v>
      </c>
      <c r="LK124" s="7">
        <v>89</v>
      </c>
      <c r="LL124" s="7">
        <v>5477</v>
      </c>
      <c r="LM124" s="7">
        <v>3917</v>
      </c>
      <c r="LN124" s="7">
        <v>116</v>
      </c>
      <c r="LO124" s="7">
        <v>13406</v>
      </c>
      <c r="LP124" s="7">
        <v>1700</v>
      </c>
      <c r="LQ124" s="7">
        <v>5781</v>
      </c>
      <c r="LR124" s="7">
        <v>154</v>
      </c>
      <c r="LS124" s="7">
        <v>4932</v>
      </c>
      <c r="LT124" s="7">
        <v>3025</v>
      </c>
      <c r="LU124" s="232">
        <v>6.8161231750000004</v>
      </c>
      <c r="LV124" s="232">
        <v>7.1593097791</v>
      </c>
      <c r="LW124" s="232">
        <v>6.4917298414999998</v>
      </c>
      <c r="LX124" s="7">
        <v>24199</v>
      </c>
      <c r="LY124" s="7">
        <v>98064</v>
      </c>
    </row>
    <row r="125" spans="1:337" x14ac:dyDescent="0.25">
      <c r="A125" t="s">
        <v>252</v>
      </c>
      <c r="B125" t="s">
        <v>253</v>
      </c>
      <c r="C125" s="7">
        <v>26044</v>
      </c>
      <c r="D125">
        <v>34028</v>
      </c>
      <c r="F125">
        <f t="shared" si="6"/>
        <v>-34028</v>
      </c>
      <c r="G125">
        <f t="shared" si="7"/>
        <v>-100</v>
      </c>
      <c r="H125">
        <v>16644</v>
      </c>
      <c r="I125">
        <v>17384</v>
      </c>
      <c r="J125">
        <v>16622</v>
      </c>
      <c r="K125">
        <v>17406</v>
      </c>
      <c r="L125" s="7">
        <v>1945</v>
      </c>
      <c r="M125" s="7">
        <v>2143</v>
      </c>
      <c r="N125" s="7">
        <v>2016</v>
      </c>
      <c r="O125" s="7">
        <v>1821</v>
      </c>
      <c r="P125" s="7">
        <v>1399</v>
      </c>
      <c r="Q125" s="7">
        <v>1223</v>
      </c>
      <c r="R125" s="7">
        <v>1098</v>
      </c>
      <c r="S125" s="7">
        <v>1014</v>
      </c>
      <c r="T125" s="7">
        <v>811</v>
      </c>
      <c r="U125" s="7">
        <v>734</v>
      </c>
      <c r="V125" s="7">
        <v>546</v>
      </c>
      <c r="W125" s="7">
        <v>429</v>
      </c>
      <c r="X125" s="7">
        <v>354</v>
      </c>
      <c r="Y125" s="7">
        <v>721</v>
      </c>
      <c r="Z125" s="7">
        <v>390</v>
      </c>
      <c r="AA125" s="7">
        <v>1928</v>
      </c>
      <c r="AB125" s="7">
        <v>2037</v>
      </c>
      <c r="AC125" s="7">
        <v>1936</v>
      </c>
      <c r="AD125" s="7">
        <v>1931</v>
      </c>
      <c r="AE125" s="7">
        <v>1592</v>
      </c>
      <c r="AF125" s="7">
        <v>1372</v>
      </c>
      <c r="AG125" s="7">
        <v>1312</v>
      </c>
      <c r="AH125" s="7">
        <v>1173</v>
      </c>
      <c r="AI125" s="7">
        <v>806</v>
      </c>
      <c r="AJ125" s="7">
        <v>709</v>
      </c>
      <c r="AK125" s="7">
        <v>543</v>
      </c>
      <c r="AL125" s="7">
        <v>442</v>
      </c>
      <c r="AM125" s="7">
        <v>380</v>
      </c>
      <c r="AN125" s="7">
        <v>835</v>
      </c>
      <c r="AO125" s="7">
        <v>388</v>
      </c>
      <c r="AP125">
        <v>32954</v>
      </c>
      <c r="AQ125">
        <v>218</v>
      </c>
      <c r="AR125">
        <v>8</v>
      </c>
      <c r="AS125">
        <v>4</v>
      </c>
      <c r="AT125">
        <v>844</v>
      </c>
      <c r="AU125" s="7">
        <v>20425</v>
      </c>
      <c r="AV125" s="7">
        <v>10009</v>
      </c>
      <c r="AW125" s="7">
        <v>10416</v>
      </c>
      <c r="AX125" s="7">
        <v>13798</v>
      </c>
      <c r="AY125" s="7">
        <v>20425</v>
      </c>
      <c r="AZ125" s="7">
        <v>14747</v>
      </c>
      <c r="BA125" s="7">
        <v>5678</v>
      </c>
      <c r="BB125" s="7">
        <v>457</v>
      </c>
      <c r="BC125" s="7">
        <v>471</v>
      </c>
      <c r="BD125" s="7">
        <v>1306</v>
      </c>
      <c r="BE125" s="7">
        <v>1240</v>
      </c>
      <c r="BF125" s="7">
        <v>1267</v>
      </c>
      <c r="BG125" s="7">
        <v>1228</v>
      </c>
      <c r="BH125" s="7">
        <v>1155</v>
      </c>
      <c r="BI125" s="7">
        <v>1248</v>
      </c>
      <c r="BJ125" s="7">
        <v>958</v>
      </c>
      <c r="BK125" s="7">
        <v>1064</v>
      </c>
      <c r="BL125" s="7">
        <v>823</v>
      </c>
      <c r="BM125" s="7">
        <v>894</v>
      </c>
      <c r="BN125" s="7">
        <v>749</v>
      </c>
      <c r="BO125" s="7">
        <v>847</v>
      </c>
      <c r="BP125" s="7">
        <v>684</v>
      </c>
      <c r="BQ125" s="7">
        <v>745</v>
      </c>
      <c r="BR125" s="7">
        <v>527</v>
      </c>
      <c r="BS125" s="7">
        <v>542</v>
      </c>
      <c r="BT125" s="7">
        <v>511</v>
      </c>
      <c r="BU125" s="7">
        <v>469</v>
      </c>
      <c r="BV125" s="7">
        <v>390</v>
      </c>
      <c r="BW125" s="7">
        <v>370</v>
      </c>
      <c r="BX125" s="7">
        <v>317</v>
      </c>
      <c r="BY125" s="7">
        <v>335</v>
      </c>
      <c r="BZ125" s="7">
        <v>263</v>
      </c>
      <c r="CA125" s="7">
        <v>290</v>
      </c>
      <c r="CB125" s="7">
        <v>602</v>
      </c>
      <c r="CC125" s="7">
        <v>673</v>
      </c>
      <c r="CD125" s="7">
        <v>7707</v>
      </c>
      <c r="CE125" s="7">
        <v>6756</v>
      </c>
      <c r="CF125" s="7">
        <v>2186</v>
      </c>
      <c r="CG125" s="7">
        <v>3532</v>
      </c>
      <c r="CH125" s="7">
        <v>5640</v>
      </c>
      <c r="CI125" s="7">
        <v>1418</v>
      </c>
      <c r="CJ125" s="7">
        <v>27692</v>
      </c>
      <c r="CK125" s="7">
        <v>5317</v>
      </c>
      <c r="CL125" s="7">
        <v>357</v>
      </c>
      <c r="CM125" s="7">
        <v>774</v>
      </c>
      <c r="CN125" s="7">
        <v>1196</v>
      </c>
      <c r="CO125" s="7">
        <v>1441</v>
      </c>
      <c r="CP125" s="7">
        <v>1169</v>
      </c>
      <c r="CQ125" s="7">
        <v>2121</v>
      </c>
      <c r="CR125" s="7">
        <v>5549</v>
      </c>
      <c r="CS125" s="7">
        <v>16800</v>
      </c>
      <c r="CT125" s="7">
        <v>1383</v>
      </c>
      <c r="CU125" s="7">
        <v>548</v>
      </c>
      <c r="CV125" s="7">
        <v>406</v>
      </c>
      <c r="CW125" s="7">
        <v>949</v>
      </c>
      <c r="CX125" s="7">
        <v>179</v>
      </c>
      <c r="CY125" s="7">
        <v>22174</v>
      </c>
      <c r="CZ125" s="7">
        <v>9110</v>
      </c>
      <c r="DA125" s="7">
        <v>593</v>
      </c>
      <c r="DB125" s="7">
        <v>357</v>
      </c>
      <c r="DC125" s="7">
        <v>43</v>
      </c>
      <c r="DD125" s="7">
        <v>11670</v>
      </c>
      <c r="DE125" s="7">
        <v>2141</v>
      </c>
      <c r="DF125" s="7">
        <v>3595</v>
      </c>
      <c r="DG125" s="7">
        <v>0</v>
      </c>
      <c r="DH125" s="7">
        <v>0</v>
      </c>
      <c r="DI125" s="7">
        <v>16622</v>
      </c>
      <c r="DJ125" s="7">
        <v>0</v>
      </c>
      <c r="DK125" s="7">
        <v>0</v>
      </c>
      <c r="DL125" s="7">
        <v>199</v>
      </c>
      <c r="DM125" s="7">
        <v>7</v>
      </c>
      <c r="DN125" s="7">
        <v>4</v>
      </c>
      <c r="DO125" s="7">
        <v>0</v>
      </c>
      <c r="DP125" s="7">
        <v>0</v>
      </c>
      <c r="DQ125" s="7">
        <v>1</v>
      </c>
      <c r="DR125" s="7">
        <v>0</v>
      </c>
      <c r="DS125" s="7">
        <v>0</v>
      </c>
      <c r="DT125" s="7">
        <v>194</v>
      </c>
      <c r="DU125" s="7">
        <v>253</v>
      </c>
      <c r="DV125" s="7">
        <v>91</v>
      </c>
      <c r="DW125" s="7">
        <v>98</v>
      </c>
      <c r="DX125" s="7">
        <v>34</v>
      </c>
      <c r="DY125" s="7">
        <v>34</v>
      </c>
      <c r="DZ125" s="7">
        <v>46</v>
      </c>
      <c r="EA125" s="7">
        <v>25</v>
      </c>
      <c r="EB125" s="7">
        <v>13</v>
      </c>
      <c r="EC125" s="7">
        <v>15</v>
      </c>
      <c r="ED125" s="7">
        <v>13</v>
      </c>
      <c r="EE125" s="7">
        <v>5</v>
      </c>
      <c r="EF125" s="7">
        <v>46</v>
      </c>
      <c r="EG125" s="7">
        <v>38</v>
      </c>
      <c r="EH125" s="7">
        <v>301</v>
      </c>
      <c r="EI125" s="7">
        <v>115</v>
      </c>
      <c r="EJ125" s="7">
        <v>40</v>
      </c>
      <c r="EK125" s="7">
        <v>45</v>
      </c>
      <c r="EL125" s="7">
        <v>18</v>
      </c>
      <c r="EM125" s="7">
        <v>15</v>
      </c>
      <c r="EN125" s="7">
        <v>40</v>
      </c>
      <c r="EO125" s="7">
        <v>8573</v>
      </c>
      <c r="EP125" s="7">
        <v>8416</v>
      </c>
      <c r="EQ125" s="7">
        <v>157</v>
      </c>
      <c r="ER125" s="7">
        <v>2691</v>
      </c>
      <c r="ES125" s="7">
        <v>1961</v>
      </c>
      <c r="ET125" s="7">
        <v>1936</v>
      </c>
      <c r="EU125" s="7">
        <v>25</v>
      </c>
      <c r="EV125" s="7">
        <v>10221</v>
      </c>
      <c r="EW125" s="134">
        <v>45.390070922</v>
      </c>
      <c r="EX125" s="134">
        <v>11.34751773</v>
      </c>
      <c r="EY125" s="134">
        <v>12.66317196</v>
      </c>
      <c r="EZ125" s="134">
        <v>29.571384520999999</v>
      </c>
      <c r="FA125" s="134">
        <v>1.0278548669000001</v>
      </c>
      <c r="FB125" s="7">
        <v>2286</v>
      </c>
      <c r="FC125" s="7">
        <v>3882</v>
      </c>
      <c r="FD125" s="7">
        <v>366</v>
      </c>
      <c r="FE125" s="7">
        <v>1407</v>
      </c>
      <c r="FF125" s="7">
        <v>6</v>
      </c>
      <c r="FG125" s="7">
        <v>1309</v>
      </c>
      <c r="FH125" s="7">
        <v>1235</v>
      </c>
      <c r="FI125" s="134">
        <v>49.871518141999999</v>
      </c>
      <c r="FJ125" s="134">
        <v>19.107821976</v>
      </c>
      <c r="FK125" s="134">
        <v>19.097543427000002</v>
      </c>
      <c r="FL125" s="134">
        <v>11.923116456000001</v>
      </c>
      <c r="FM125" s="151">
        <v>9494</v>
      </c>
      <c r="FN125" s="151">
        <v>6673</v>
      </c>
      <c r="FO125" s="7">
        <v>1081</v>
      </c>
      <c r="FP125" s="7">
        <v>599</v>
      </c>
      <c r="FQ125" s="7">
        <v>102</v>
      </c>
      <c r="FR125" s="7">
        <v>7</v>
      </c>
      <c r="FS125" s="7">
        <v>7311</v>
      </c>
      <c r="FT125" s="7">
        <v>152</v>
      </c>
      <c r="FU125" s="7">
        <v>296</v>
      </c>
      <c r="FV125" s="7">
        <v>477</v>
      </c>
      <c r="FW125" s="7">
        <v>10561</v>
      </c>
      <c r="FX125" s="7">
        <v>6331</v>
      </c>
      <c r="FY125" s="7">
        <v>1035</v>
      </c>
      <c r="FZ125" s="7">
        <v>603</v>
      </c>
      <c r="GA125" s="7">
        <v>130</v>
      </c>
      <c r="GB125" s="7">
        <v>7</v>
      </c>
      <c r="GC125" s="7">
        <v>8568</v>
      </c>
      <c r="GD125" s="7">
        <v>69</v>
      </c>
      <c r="GE125" s="7">
        <v>203</v>
      </c>
      <c r="GF125" s="7">
        <v>492</v>
      </c>
      <c r="GG125" s="7">
        <v>1191</v>
      </c>
      <c r="GH125" s="7">
        <v>1320</v>
      </c>
      <c r="GI125" s="7">
        <v>1244</v>
      </c>
      <c r="GJ125" s="7">
        <v>1008</v>
      </c>
      <c r="GK125" s="7">
        <v>657</v>
      </c>
      <c r="GL125" s="7">
        <v>649</v>
      </c>
      <c r="GM125" s="7">
        <v>663</v>
      </c>
      <c r="GN125" s="7">
        <v>644</v>
      </c>
      <c r="GO125" s="7">
        <v>489</v>
      </c>
      <c r="GP125" s="7">
        <v>434</v>
      </c>
      <c r="GQ125" s="7">
        <v>327</v>
      </c>
      <c r="GR125" s="7">
        <v>231</v>
      </c>
      <c r="GS125" s="7">
        <v>202</v>
      </c>
      <c r="GT125" s="7">
        <v>159</v>
      </c>
      <c r="GU125" s="7">
        <v>132</v>
      </c>
      <c r="GV125" s="7">
        <v>61</v>
      </c>
      <c r="GW125" s="7">
        <v>34</v>
      </c>
      <c r="GX125" s="7">
        <v>44</v>
      </c>
      <c r="GY125" s="7">
        <v>1199</v>
      </c>
      <c r="GZ125" s="7">
        <v>1235</v>
      </c>
      <c r="HA125" s="7">
        <v>1221</v>
      </c>
      <c r="HB125" s="7">
        <v>1146</v>
      </c>
      <c r="HC125" s="7">
        <v>887</v>
      </c>
      <c r="HD125" s="7">
        <v>867</v>
      </c>
      <c r="HE125" s="7">
        <v>845</v>
      </c>
      <c r="HF125" s="7">
        <v>761</v>
      </c>
      <c r="HG125" s="7">
        <v>541</v>
      </c>
      <c r="HH125" s="7">
        <v>459</v>
      </c>
      <c r="HI125" s="7">
        <v>358</v>
      </c>
      <c r="HJ125" s="7">
        <v>285</v>
      </c>
      <c r="HK125" s="7">
        <v>229</v>
      </c>
      <c r="HL125" s="7">
        <v>200</v>
      </c>
      <c r="HM125" s="7">
        <v>143</v>
      </c>
      <c r="HN125" s="7">
        <v>94</v>
      </c>
      <c r="HO125" s="7">
        <v>58</v>
      </c>
      <c r="HP125" s="7">
        <v>32</v>
      </c>
      <c r="HQ125" s="7">
        <v>6950</v>
      </c>
      <c r="HR125" s="7">
        <v>13</v>
      </c>
      <c r="HS125" s="7">
        <v>43</v>
      </c>
      <c r="HT125" s="7">
        <v>0</v>
      </c>
      <c r="HU125" s="7">
        <v>4</v>
      </c>
      <c r="HV125" s="7">
        <v>0</v>
      </c>
      <c r="HW125" s="7">
        <v>0</v>
      </c>
      <c r="HX125" s="7">
        <v>305</v>
      </c>
      <c r="HY125" s="7">
        <v>357</v>
      </c>
      <c r="HZ125" s="7">
        <v>774</v>
      </c>
      <c r="IA125" s="7">
        <v>1195</v>
      </c>
      <c r="IB125" s="7">
        <v>1441</v>
      </c>
      <c r="IC125" s="7">
        <v>1168</v>
      </c>
      <c r="ID125" s="7">
        <v>853</v>
      </c>
      <c r="IE125" s="7">
        <v>474</v>
      </c>
      <c r="IF125" s="7">
        <v>309</v>
      </c>
      <c r="IG125" s="7">
        <v>483</v>
      </c>
      <c r="IH125" s="7">
        <v>843</v>
      </c>
      <c r="II125" s="7">
        <v>3119</v>
      </c>
      <c r="IJ125" s="7">
        <v>1349</v>
      </c>
      <c r="IK125" s="7">
        <v>896</v>
      </c>
      <c r="IL125" s="7">
        <v>447</v>
      </c>
      <c r="IM125" s="7">
        <v>201</v>
      </c>
      <c r="IN125" s="7">
        <v>77</v>
      </c>
      <c r="IO125" s="7">
        <v>32</v>
      </c>
      <c r="IP125" s="7">
        <v>47</v>
      </c>
      <c r="IQ125" s="7">
        <v>4328</v>
      </c>
      <c r="IR125" s="7">
        <v>1784</v>
      </c>
      <c r="IS125" s="7">
        <v>638</v>
      </c>
      <c r="IT125" s="7">
        <v>210</v>
      </c>
      <c r="IU125" s="7">
        <v>64</v>
      </c>
      <c r="IV125" s="7">
        <v>3728</v>
      </c>
      <c r="IW125" s="7">
        <v>1959</v>
      </c>
      <c r="IX125" s="7">
        <v>416</v>
      </c>
      <c r="IY125" s="7">
        <v>65</v>
      </c>
      <c r="IZ125" s="7">
        <v>4</v>
      </c>
      <c r="JA125" s="7">
        <v>853</v>
      </c>
      <c r="JB125" s="7">
        <v>4471</v>
      </c>
      <c r="JC125" s="7">
        <v>1215</v>
      </c>
      <c r="JD125" s="7">
        <v>176</v>
      </c>
      <c r="JE125" s="7">
        <v>228</v>
      </c>
      <c r="JF125" s="151">
        <v>6232.8662995654522</v>
      </c>
      <c r="JG125" s="151">
        <v>792.20479039073757</v>
      </c>
      <c r="JH125" s="7">
        <v>2879</v>
      </c>
      <c r="JI125" s="7">
        <v>3742</v>
      </c>
      <c r="JJ125" s="7">
        <v>392</v>
      </c>
      <c r="JK125" s="7">
        <v>41</v>
      </c>
      <c r="JL125" s="7">
        <v>2732</v>
      </c>
      <c r="JM125" s="7">
        <v>1187</v>
      </c>
      <c r="JN125" s="7">
        <v>776</v>
      </c>
      <c r="JO125" s="7">
        <v>4434</v>
      </c>
      <c r="JP125" s="7">
        <v>4593</v>
      </c>
      <c r="JQ125" s="7">
        <v>658</v>
      </c>
      <c r="JR125" s="7">
        <v>641</v>
      </c>
      <c r="JS125" s="7">
        <v>2630</v>
      </c>
      <c r="JT125" s="7">
        <v>327</v>
      </c>
      <c r="JU125" s="151">
        <v>1774.2821459277573</v>
      </c>
      <c r="JV125" s="151">
        <v>3416.4232498956021</v>
      </c>
      <c r="JW125" s="151">
        <v>1017.1439103613329</v>
      </c>
      <c r="JX125" s="151">
        <v>25.016993380760134</v>
      </c>
      <c r="JY125" s="7">
        <v>6375</v>
      </c>
      <c r="JZ125" s="7">
        <v>32570</v>
      </c>
      <c r="KA125" s="7">
        <v>34</v>
      </c>
      <c r="KB125" s="7">
        <v>136</v>
      </c>
      <c r="KC125" s="7">
        <v>0</v>
      </c>
      <c r="KD125" s="7">
        <v>20</v>
      </c>
      <c r="KE125" s="7">
        <v>0</v>
      </c>
      <c r="KF125" s="7">
        <v>0</v>
      </c>
      <c r="KG125" s="7">
        <v>1020</v>
      </c>
      <c r="KH125" s="7">
        <v>14803</v>
      </c>
      <c r="KI125" s="7">
        <v>16501</v>
      </c>
      <c r="KJ125" s="7">
        <v>1504</v>
      </c>
      <c r="KK125" s="7">
        <v>181</v>
      </c>
      <c r="KL125" s="7">
        <v>8298</v>
      </c>
      <c r="KM125" s="7">
        <v>15978</v>
      </c>
      <c r="KN125" s="7">
        <v>4757</v>
      </c>
      <c r="KO125" s="7">
        <v>117</v>
      </c>
      <c r="KP125" s="7">
        <v>29150</v>
      </c>
      <c r="KQ125" s="7">
        <v>3705</v>
      </c>
      <c r="KR125" s="7">
        <v>5207</v>
      </c>
      <c r="KS125" s="7">
        <v>5207</v>
      </c>
      <c r="KT125" s="7">
        <v>901</v>
      </c>
      <c r="KU125" s="7">
        <v>303</v>
      </c>
      <c r="KV125" s="7">
        <v>886</v>
      </c>
      <c r="KW125" s="7">
        <v>1</v>
      </c>
      <c r="KX125" s="7">
        <v>893</v>
      </c>
      <c r="KY125" s="7">
        <v>276</v>
      </c>
      <c r="KZ125" s="7">
        <v>785</v>
      </c>
      <c r="LA125" s="7">
        <v>1</v>
      </c>
      <c r="LB125" s="7">
        <v>2867</v>
      </c>
      <c r="LC125" s="7">
        <v>2788</v>
      </c>
      <c r="LD125" s="7">
        <v>2059</v>
      </c>
      <c r="LE125" s="7">
        <v>3691</v>
      </c>
      <c r="LF125" s="7">
        <v>21245</v>
      </c>
      <c r="LG125" s="7">
        <v>37</v>
      </c>
      <c r="LH125" s="7">
        <v>3528</v>
      </c>
      <c r="LI125" s="7">
        <v>615</v>
      </c>
      <c r="LJ125" s="7">
        <v>1359</v>
      </c>
      <c r="LK125" s="7">
        <v>3</v>
      </c>
      <c r="LL125" s="7">
        <v>1521</v>
      </c>
      <c r="LM125" s="7">
        <v>963</v>
      </c>
      <c r="LN125" s="7">
        <v>47</v>
      </c>
      <c r="LO125" s="7">
        <v>3525</v>
      </c>
      <c r="LP125" s="7">
        <v>500</v>
      </c>
      <c r="LQ125" s="7">
        <v>1248</v>
      </c>
      <c r="LR125" s="7">
        <v>9</v>
      </c>
      <c r="LS125" s="7">
        <v>1417</v>
      </c>
      <c r="LT125" s="7">
        <v>735</v>
      </c>
      <c r="LU125" s="232">
        <v>5.7870783848</v>
      </c>
      <c r="LV125" s="232">
        <v>6.3883524140999999</v>
      </c>
      <c r="LW125" s="232">
        <v>5.2382553385000001</v>
      </c>
      <c r="LX125" s="7">
        <v>7054</v>
      </c>
      <c r="LY125" s="7">
        <v>32989</v>
      </c>
    </row>
    <row r="126" spans="1:337" x14ac:dyDescent="0.25">
      <c r="A126" t="s">
        <v>256</v>
      </c>
      <c r="B126" t="s">
        <v>257</v>
      </c>
      <c r="C126" s="7">
        <v>29754</v>
      </c>
      <c r="D126">
        <v>36489</v>
      </c>
      <c r="F126">
        <f t="shared" si="6"/>
        <v>-36489</v>
      </c>
      <c r="G126">
        <f t="shared" si="7"/>
        <v>-100</v>
      </c>
      <c r="H126">
        <v>17176</v>
      </c>
      <c r="I126">
        <v>19313</v>
      </c>
      <c r="J126">
        <v>15532</v>
      </c>
      <c r="K126">
        <v>20957</v>
      </c>
      <c r="L126" s="7">
        <v>2430</v>
      </c>
      <c r="M126" s="7">
        <v>2462</v>
      </c>
      <c r="N126" s="7">
        <v>2248</v>
      </c>
      <c r="O126" s="7">
        <v>2015</v>
      </c>
      <c r="P126" s="7">
        <v>1564</v>
      </c>
      <c r="Q126" s="7">
        <v>1217</v>
      </c>
      <c r="R126" s="7">
        <v>974</v>
      </c>
      <c r="S126" s="7">
        <v>853</v>
      </c>
      <c r="T126" s="7">
        <v>612</v>
      </c>
      <c r="U126" s="7">
        <v>588</v>
      </c>
      <c r="V126" s="7">
        <v>470</v>
      </c>
      <c r="W126" s="7">
        <v>355</v>
      </c>
      <c r="X126" s="7">
        <v>296</v>
      </c>
      <c r="Y126" s="7">
        <v>603</v>
      </c>
      <c r="Z126" s="7">
        <v>489</v>
      </c>
      <c r="AA126" s="7">
        <v>2413</v>
      </c>
      <c r="AB126" s="7">
        <v>2643</v>
      </c>
      <c r="AC126" s="7">
        <v>2319</v>
      </c>
      <c r="AD126" s="7">
        <v>2250</v>
      </c>
      <c r="AE126" s="7">
        <v>1881</v>
      </c>
      <c r="AF126" s="7">
        <v>1490</v>
      </c>
      <c r="AG126" s="7">
        <v>1223</v>
      </c>
      <c r="AH126" s="7">
        <v>1048</v>
      </c>
      <c r="AI126" s="7">
        <v>763</v>
      </c>
      <c r="AJ126" s="7">
        <v>700</v>
      </c>
      <c r="AK126" s="7">
        <v>497</v>
      </c>
      <c r="AL126" s="7">
        <v>437</v>
      </c>
      <c r="AM126" s="7">
        <v>366</v>
      </c>
      <c r="AN126" s="7">
        <v>794</v>
      </c>
      <c r="AO126" s="7">
        <v>489</v>
      </c>
      <c r="AP126">
        <v>35493</v>
      </c>
      <c r="AQ126">
        <v>8</v>
      </c>
      <c r="AR126">
        <v>3</v>
      </c>
      <c r="AS126" t="s">
        <v>358</v>
      </c>
      <c r="AT126">
        <v>985</v>
      </c>
      <c r="AU126" s="7">
        <v>32323</v>
      </c>
      <c r="AV126" s="7">
        <v>15129</v>
      </c>
      <c r="AW126" s="7">
        <v>17194</v>
      </c>
      <c r="AX126" s="7">
        <v>24500</v>
      </c>
      <c r="AY126" s="7">
        <v>32323</v>
      </c>
      <c r="AZ126" s="7">
        <v>18246</v>
      </c>
      <c r="BA126" s="7">
        <v>14077</v>
      </c>
      <c r="BB126" s="7">
        <v>933</v>
      </c>
      <c r="BC126" s="7">
        <v>967</v>
      </c>
      <c r="BD126" s="7">
        <v>2438</v>
      </c>
      <c r="BE126" s="7">
        <v>2619</v>
      </c>
      <c r="BF126" s="7">
        <v>2233</v>
      </c>
      <c r="BG126" s="7">
        <v>2300</v>
      </c>
      <c r="BH126" s="7">
        <v>2006</v>
      </c>
      <c r="BI126" s="7">
        <v>2225</v>
      </c>
      <c r="BJ126" s="7">
        <v>1559</v>
      </c>
      <c r="BK126" s="7">
        <v>1848</v>
      </c>
      <c r="BL126" s="7">
        <v>1214</v>
      </c>
      <c r="BM126" s="7">
        <v>1459</v>
      </c>
      <c r="BN126" s="7">
        <v>972</v>
      </c>
      <c r="BO126" s="7">
        <v>1210</v>
      </c>
      <c r="BP126" s="7">
        <v>853</v>
      </c>
      <c r="BQ126" s="7">
        <v>1034</v>
      </c>
      <c r="BR126" s="7">
        <v>612</v>
      </c>
      <c r="BS126" s="7">
        <v>754</v>
      </c>
      <c r="BT126" s="7">
        <v>588</v>
      </c>
      <c r="BU126" s="7">
        <v>694</v>
      </c>
      <c r="BV126" s="7">
        <v>470</v>
      </c>
      <c r="BW126" s="7">
        <v>492</v>
      </c>
      <c r="BX126" s="7">
        <v>355</v>
      </c>
      <c r="BY126" s="7">
        <v>436</v>
      </c>
      <c r="BZ126" s="7">
        <v>295</v>
      </c>
      <c r="CA126" s="7">
        <v>365</v>
      </c>
      <c r="CB126" s="7">
        <v>601</v>
      </c>
      <c r="CC126" s="7">
        <v>791</v>
      </c>
      <c r="CD126" s="7">
        <v>9372</v>
      </c>
      <c r="CE126" s="7">
        <v>5908</v>
      </c>
      <c r="CF126" s="7">
        <v>5704</v>
      </c>
      <c r="CG126" s="7">
        <v>11225</v>
      </c>
      <c r="CH126" s="7">
        <v>5621</v>
      </c>
      <c r="CI126" s="7">
        <v>1033</v>
      </c>
      <c r="CJ126" s="7">
        <v>31850</v>
      </c>
      <c r="CK126" s="7">
        <v>3664</v>
      </c>
      <c r="CL126" s="7">
        <v>367</v>
      </c>
      <c r="CM126" s="7">
        <v>640</v>
      </c>
      <c r="CN126" s="7">
        <v>727</v>
      </c>
      <c r="CO126" s="7">
        <v>942</v>
      </c>
      <c r="CP126" s="7">
        <v>999</v>
      </c>
      <c r="CQ126" s="7">
        <v>2979</v>
      </c>
      <c r="CR126" s="7">
        <v>5434</v>
      </c>
      <c r="CS126" s="7">
        <v>20322</v>
      </c>
      <c r="CT126" s="7">
        <v>1255</v>
      </c>
      <c r="CU126" s="7">
        <v>782</v>
      </c>
      <c r="CV126" s="7">
        <v>320</v>
      </c>
      <c r="CW126" s="7">
        <v>640</v>
      </c>
      <c r="CX126" s="7">
        <v>3</v>
      </c>
      <c r="CY126" s="7">
        <v>25126</v>
      </c>
      <c r="CZ126" s="7">
        <v>9368</v>
      </c>
      <c r="DA126" s="7">
        <v>18</v>
      </c>
      <c r="DB126" s="7">
        <v>367</v>
      </c>
      <c r="DC126" s="7">
        <v>0</v>
      </c>
      <c r="DD126" s="7">
        <v>2174</v>
      </c>
      <c r="DE126" s="7">
        <v>8043</v>
      </c>
      <c r="DF126" s="7">
        <v>10740</v>
      </c>
      <c r="DG126" s="7">
        <v>15532</v>
      </c>
      <c r="DH126" s="7">
        <v>0</v>
      </c>
      <c r="DI126" s="7">
        <v>0</v>
      </c>
      <c r="DJ126" s="7">
        <v>0</v>
      </c>
      <c r="DK126" s="7">
        <v>0</v>
      </c>
      <c r="DL126" s="7">
        <v>17</v>
      </c>
      <c r="DM126" s="7">
        <v>20</v>
      </c>
      <c r="DN126" s="7">
        <v>12</v>
      </c>
      <c r="DO126" s="7">
        <v>4</v>
      </c>
      <c r="DP126" s="7">
        <v>0</v>
      </c>
      <c r="DQ126" s="7">
        <v>0</v>
      </c>
      <c r="DR126" s="7">
        <v>0</v>
      </c>
      <c r="DS126" s="7">
        <v>0</v>
      </c>
      <c r="DT126" s="7">
        <v>107</v>
      </c>
      <c r="DU126" s="7">
        <v>126</v>
      </c>
      <c r="DV126" s="7">
        <v>59</v>
      </c>
      <c r="DW126" s="7">
        <v>84</v>
      </c>
      <c r="DX126" s="7">
        <v>58</v>
      </c>
      <c r="DY126" s="7">
        <v>57</v>
      </c>
      <c r="DZ126" s="7">
        <v>16</v>
      </c>
      <c r="EA126" s="7">
        <v>16</v>
      </c>
      <c r="EB126" s="7">
        <v>6</v>
      </c>
      <c r="EC126" s="7">
        <v>10</v>
      </c>
      <c r="ED126" s="7">
        <v>6</v>
      </c>
      <c r="EE126" s="7">
        <v>1</v>
      </c>
      <c r="EF126" s="7">
        <v>27</v>
      </c>
      <c r="EG126" s="7">
        <v>22</v>
      </c>
      <c r="EH126" s="7">
        <v>170</v>
      </c>
      <c r="EI126" s="7">
        <v>93</v>
      </c>
      <c r="EJ126" s="7">
        <v>80</v>
      </c>
      <c r="EK126" s="7">
        <v>21</v>
      </c>
      <c r="EL126" s="7">
        <v>10</v>
      </c>
      <c r="EM126" s="7">
        <v>3</v>
      </c>
      <c r="EN126" s="7">
        <v>28</v>
      </c>
      <c r="EO126" s="7">
        <v>8818</v>
      </c>
      <c r="EP126" s="7">
        <v>8567</v>
      </c>
      <c r="EQ126" s="7">
        <v>251</v>
      </c>
      <c r="ER126" s="7">
        <v>1962</v>
      </c>
      <c r="ES126" s="7">
        <v>1283</v>
      </c>
      <c r="ET126" s="7">
        <v>1279</v>
      </c>
      <c r="EU126" s="7">
        <v>4</v>
      </c>
      <c r="EV126" s="7">
        <v>11473</v>
      </c>
      <c r="EW126" s="134">
        <v>65.515490095999994</v>
      </c>
      <c r="EX126" s="134">
        <v>12.615540884</v>
      </c>
      <c r="EY126" s="134">
        <v>15.713560183</v>
      </c>
      <c r="EZ126" s="134">
        <v>5.7287963433</v>
      </c>
      <c r="FA126" s="134">
        <v>0.42661249369999998</v>
      </c>
      <c r="FB126" s="7">
        <v>2567</v>
      </c>
      <c r="FC126" s="7">
        <v>6480</v>
      </c>
      <c r="FD126" s="7">
        <v>86</v>
      </c>
      <c r="FE126" s="7">
        <v>721</v>
      </c>
      <c r="FF126" s="7">
        <v>0</v>
      </c>
      <c r="FG126" s="7">
        <v>191</v>
      </c>
      <c r="FH126" s="7">
        <v>50</v>
      </c>
      <c r="FI126" s="134">
        <v>72.138141188000006</v>
      </c>
      <c r="FJ126" s="134">
        <v>19.197562214000001</v>
      </c>
      <c r="FK126" s="134">
        <v>5.9014728288000002</v>
      </c>
      <c r="FL126" s="134">
        <v>2.7628237684000001</v>
      </c>
      <c r="FM126" s="151">
        <v>11013</v>
      </c>
      <c r="FN126" s="151">
        <v>5655</v>
      </c>
      <c r="FO126" s="7">
        <v>468</v>
      </c>
      <c r="FP126" s="7">
        <v>28</v>
      </c>
      <c r="FQ126" s="7">
        <v>0</v>
      </c>
      <c r="FR126" s="7">
        <v>2</v>
      </c>
      <c r="FS126" s="7">
        <v>10263</v>
      </c>
      <c r="FT126" s="7">
        <v>133</v>
      </c>
      <c r="FU126" s="7">
        <v>119</v>
      </c>
      <c r="FV126" s="7">
        <v>508</v>
      </c>
      <c r="FW126" s="7">
        <v>12768</v>
      </c>
      <c r="FX126" s="7">
        <v>6030</v>
      </c>
      <c r="FY126" s="7">
        <v>530</v>
      </c>
      <c r="FZ126" s="7">
        <v>21</v>
      </c>
      <c r="GA126" s="7">
        <v>2</v>
      </c>
      <c r="GB126" s="7">
        <v>4</v>
      </c>
      <c r="GC126" s="7">
        <v>11971</v>
      </c>
      <c r="GD126" s="7">
        <v>120</v>
      </c>
      <c r="GE126" s="7">
        <v>121</v>
      </c>
      <c r="GF126" s="7">
        <v>515</v>
      </c>
      <c r="GG126" s="7">
        <v>1502</v>
      </c>
      <c r="GH126" s="7">
        <v>1752</v>
      </c>
      <c r="GI126" s="7">
        <v>1602</v>
      </c>
      <c r="GJ126" s="7">
        <v>1275</v>
      </c>
      <c r="GK126" s="7">
        <v>884</v>
      </c>
      <c r="GL126" s="7">
        <v>744</v>
      </c>
      <c r="GM126" s="7">
        <v>673</v>
      </c>
      <c r="GN126" s="7">
        <v>613</v>
      </c>
      <c r="GO126" s="7">
        <v>435</v>
      </c>
      <c r="GP126" s="7">
        <v>391</v>
      </c>
      <c r="GQ126" s="7">
        <v>305</v>
      </c>
      <c r="GR126" s="7">
        <v>226</v>
      </c>
      <c r="GS126" s="7">
        <v>183</v>
      </c>
      <c r="GT126" s="7">
        <v>140</v>
      </c>
      <c r="GU126" s="7">
        <v>135</v>
      </c>
      <c r="GV126" s="7">
        <v>73</v>
      </c>
      <c r="GW126" s="7">
        <v>27</v>
      </c>
      <c r="GX126" s="7">
        <v>52</v>
      </c>
      <c r="GY126" s="7">
        <v>1472</v>
      </c>
      <c r="GZ126" s="7">
        <v>1889</v>
      </c>
      <c r="HA126" s="7">
        <v>1641</v>
      </c>
      <c r="HB126" s="7">
        <v>1342</v>
      </c>
      <c r="HC126" s="7">
        <v>1130</v>
      </c>
      <c r="HD126" s="7">
        <v>1014</v>
      </c>
      <c r="HE126" s="7">
        <v>892</v>
      </c>
      <c r="HF126" s="7">
        <v>790</v>
      </c>
      <c r="HG126" s="7">
        <v>547</v>
      </c>
      <c r="HH126" s="7">
        <v>518</v>
      </c>
      <c r="HI126" s="7">
        <v>374</v>
      </c>
      <c r="HJ126" s="7">
        <v>295</v>
      </c>
      <c r="HK126" s="7">
        <v>276</v>
      </c>
      <c r="HL126" s="7">
        <v>193</v>
      </c>
      <c r="HM126" s="7">
        <v>190</v>
      </c>
      <c r="HN126" s="7">
        <v>75</v>
      </c>
      <c r="HO126" s="7">
        <v>67</v>
      </c>
      <c r="HP126" s="7">
        <v>62</v>
      </c>
      <c r="HQ126" s="7">
        <v>6615</v>
      </c>
      <c r="HR126" s="7">
        <v>0</v>
      </c>
      <c r="HS126" s="7">
        <v>0</v>
      </c>
      <c r="HT126" s="7">
        <v>3</v>
      </c>
      <c r="HU126" s="7">
        <v>0</v>
      </c>
      <c r="HV126" s="7">
        <v>0</v>
      </c>
      <c r="HW126" s="7">
        <v>0</v>
      </c>
      <c r="HX126" s="7">
        <v>361</v>
      </c>
      <c r="HY126" s="7">
        <v>367</v>
      </c>
      <c r="HZ126" s="7">
        <v>640</v>
      </c>
      <c r="IA126" s="7">
        <v>727</v>
      </c>
      <c r="IB126" s="7">
        <v>942</v>
      </c>
      <c r="IC126" s="7">
        <v>999</v>
      </c>
      <c r="ID126" s="7">
        <v>962</v>
      </c>
      <c r="IE126" s="7">
        <v>706</v>
      </c>
      <c r="IF126" s="7">
        <v>537</v>
      </c>
      <c r="IG126" s="7">
        <v>774</v>
      </c>
      <c r="IH126" s="7">
        <v>1167</v>
      </c>
      <c r="II126" s="7">
        <v>2101</v>
      </c>
      <c r="IJ126" s="7">
        <v>1644</v>
      </c>
      <c r="IK126" s="7">
        <v>910</v>
      </c>
      <c r="IL126" s="7">
        <v>518</v>
      </c>
      <c r="IM126" s="7">
        <v>166</v>
      </c>
      <c r="IN126" s="7">
        <v>40</v>
      </c>
      <c r="IO126" s="7">
        <v>16</v>
      </c>
      <c r="IP126" s="7">
        <v>14</v>
      </c>
      <c r="IQ126" s="7">
        <v>3326</v>
      </c>
      <c r="IR126" s="7">
        <v>1918</v>
      </c>
      <c r="IS126" s="7">
        <v>727</v>
      </c>
      <c r="IT126" s="7">
        <v>487</v>
      </c>
      <c r="IU126" s="7">
        <v>122</v>
      </c>
      <c r="IV126" s="7">
        <v>511</v>
      </c>
      <c r="IW126" s="7">
        <v>3550</v>
      </c>
      <c r="IX126" s="7">
        <v>36</v>
      </c>
      <c r="IY126" s="7">
        <v>147</v>
      </c>
      <c r="IZ126" s="7">
        <v>655</v>
      </c>
      <c r="JA126" s="7">
        <v>1732</v>
      </c>
      <c r="JB126" s="7">
        <v>802</v>
      </c>
      <c r="JC126" s="7">
        <v>3117</v>
      </c>
      <c r="JD126" s="7">
        <v>196</v>
      </c>
      <c r="JE126" s="7">
        <v>29</v>
      </c>
      <c r="JF126" s="151">
        <v>5887.6861659422912</v>
      </c>
      <c r="JG126" s="151">
        <v>750.200337590152</v>
      </c>
      <c r="JH126" s="7">
        <v>875</v>
      </c>
      <c r="JI126" s="7">
        <v>5647</v>
      </c>
      <c r="JJ126" s="7">
        <v>109</v>
      </c>
      <c r="JK126" s="7">
        <v>23</v>
      </c>
      <c r="JL126" s="7">
        <v>376</v>
      </c>
      <c r="JM126" s="7">
        <v>123</v>
      </c>
      <c r="JN126" s="7">
        <v>846</v>
      </c>
      <c r="JO126" s="7">
        <v>3818</v>
      </c>
      <c r="JP126" s="7">
        <v>4062</v>
      </c>
      <c r="JQ126" s="7">
        <v>40</v>
      </c>
      <c r="JR126" s="7">
        <v>439</v>
      </c>
      <c r="JS126" s="7">
        <v>865</v>
      </c>
      <c r="JT126" s="7">
        <v>30</v>
      </c>
      <c r="JU126" s="151">
        <v>328.82157654113803</v>
      </c>
      <c r="JV126" s="151">
        <v>3239.876183219008</v>
      </c>
      <c r="JW126" s="151">
        <v>2288.4482825489799</v>
      </c>
      <c r="JX126" s="151">
        <v>30.540123633165528</v>
      </c>
      <c r="JY126" s="7">
        <v>6486</v>
      </c>
      <c r="JZ126" s="7">
        <v>35291</v>
      </c>
      <c r="KA126" s="7">
        <v>0</v>
      </c>
      <c r="KB126" s="7">
        <v>0</v>
      </c>
      <c r="KC126" s="7">
        <v>9</v>
      </c>
      <c r="KD126" s="7">
        <v>0</v>
      </c>
      <c r="KE126" s="7">
        <v>0</v>
      </c>
      <c r="KF126" s="7">
        <v>0</v>
      </c>
      <c r="KG126" s="7">
        <v>1189</v>
      </c>
      <c r="KH126" s="7">
        <v>4161</v>
      </c>
      <c r="KI126" s="7">
        <v>30650</v>
      </c>
      <c r="KJ126" s="7">
        <v>606</v>
      </c>
      <c r="KK126" s="7">
        <v>97</v>
      </c>
      <c r="KL126" s="7">
        <v>1755</v>
      </c>
      <c r="KM126" s="7">
        <v>17292</v>
      </c>
      <c r="KN126" s="7">
        <v>12214</v>
      </c>
      <c r="KO126" s="7">
        <v>163</v>
      </c>
      <c r="KP126" s="7">
        <v>31424</v>
      </c>
      <c r="KQ126" s="7">
        <v>4004</v>
      </c>
      <c r="KR126" s="7">
        <v>4252</v>
      </c>
      <c r="KS126" s="7">
        <v>4252</v>
      </c>
      <c r="KT126" s="7">
        <v>826</v>
      </c>
      <c r="KU126" s="7">
        <v>212</v>
      </c>
      <c r="KV126" s="7">
        <v>392</v>
      </c>
      <c r="KW126" s="7">
        <v>0</v>
      </c>
      <c r="KX126" s="7">
        <v>842</v>
      </c>
      <c r="KY126" s="7">
        <v>163</v>
      </c>
      <c r="KZ126" s="7">
        <v>270</v>
      </c>
      <c r="LA126" s="7">
        <v>0</v>
      </c>
      <c r="LB126" s="7">
        <v>2626</v>
      </c>
      <c r="LC126" s="7">
        <v>2543</v>
      </c>
      <c r="LD126" s="7">
        <v>2527</v>
      </c>
      <c r="LE126" s="7">
        <v>6363</v>
      </c>
      <c r="LF126" s="7">
        <v>20996</v>
      </c>
      <c r="LG126" s="7">
        <v>29</v>
      </c>
      <c r="LH126" s="7">
        <v>5991</v>
      </c>
      <c r="LI126" s="7">
        <v>226</v>
      </c>
      <c r="LJ126" s="7">
        <v>720</v>
      </c>
      <c r="LK126" s="7">
        <v>0</v>
      </c>
      <c r="LL126" s="7">
        <v>283</v>
      </c>
      <c r="LM126" s="7">
        <v>61</v>
      </c>
      <c r="LN126" s="7">
        <v>12</v>
      </c>
      <c r="LO126" s="7">
        <v>4602</v>
      </c>
      <c r="LP126" s="7">
        <v>164</v>
      </c>
      <c r="LQ126" s="7">
        <v>521</v>
      </c>
      <c r="LR126" s="7">
        <v>0</v>
      </c>
      <c r="LS126" s="7">
        <v>121</v>
      </c>
      <c r="LT126" s="7">
        <v>35</v>
      </c>
      <c r="LU126" s="232">
        <v>3.5143320455999998</v>
      </c>
      <c r="LV126" s="232">
        <v>4.4356175884000004</v>
      </c>
      <c r="LW126" s="232">
        <v>2.7468088826999999</v>
      </c>
      <c r="LX126" s="7">
        <v>6654</v>
      </c>
      <c r="LY126" s="7">
        <v>35514</v>
      </c>
    </row>
  </sheetData>
  <sheetProtection password="EBC7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zoomScaleNormal="100" workbookViewId="0">
      <selection activeCell="D35" sqref="D35"/>
    </sheetView>
  </sheetViews>
  <sheetFormatPr baseColWidth="10" defaultRowHeight="18.75" customHeight="1" x14ac:dyDescent="0.25"/>
  <cols>
    <col min="1" max="1" width="11.42578125" style="5"/>
    <col min="2" max="2" width="11.85546875" style="5" customWidth="1"/>
    <col min="3" max="3" width="9.140625" style="5" customWidth="1"/>
    <col min="4" max="4" width="10.28515625" style="5" customWidth="1"/>
    <col min="5" max="5" width="8.85546875" style="5" customWidth="1"/>
    <col min="6" max="6" width="12.7109375" style="6" customWidth="1"/>
    <col min="7" max="7" width="4.85546875" style="5" customWidth="1"/>
    <col min="8" max="8" width="15" style="5" customWidth="1"/>
    <col min="9" max="9" width="10.140625" style="5" customWidth="1"/>
    <col min="10" max="11" width="10.5703125" style="6" customWidth="1"/>
    <col min="12" max="12" width="10" style="6" customWidth="1"/>
    <col min="13" max="13" width="9.140625" style="6" customWidth="1"/>
    <col min="14" max="14" width="12.28515625" style="6" customWidth="1"/>
    <col min="15" max="15" width="12.28515625" style="9" customWidth="1"/>
    <col min="16" max="16" width="11.42578125" style="10" customWidth="1"/>
    <col min="17" max="17" width="23.7109375" style="10" customWidth="1"/>
    <col min="18" max="16384" width="11.42578125" style="5"/>
  </cols>
  <sheetData>
    <row r="1" spans="2:17" ht="18" customHeight="1" x14ac:dyDescent="0.25"/>
    <row r="2" spans="2:17" ht="18" customHeight="1" x14ac:dyDescent="0.25"/>
    <row r="3" spans="2:17" ht="18" customHeight="1" x14ac:dyDescent="0.25"/>
    <row r="4" spans="2:17" ht="18" customHeight="1" x14ac:dyDescent="0.25">
      <c r="B4" s="33" t="s">
        <v>1003</v>
      </c>
      <c r="C4" s="4"/>
      <c r="D4" s="4"/>
      <c r="M4" s="247" t="s">
        <v>1000</v>
      </c>
    </row>
    <row r="5" spans="2:17" ht="18" customHeight="1" x14ac:dyDescent="0.25">
      <c r="B5" s="36" t="s">
        <v>2</v>
      </c>
    </row>
    <row r="6" spans="2:17" ht="18" customHeight="1" x14ac:dyDescent="0.25">
      <c r="B6" s="37" t="s">
        <v>1002</v>
      </c>
      <c r="F6" s="5"/>
      <c r="G6" s="8"/>
      <c r="I6" s="38" t="s">
        <v>8</v>
      </c>
      <c r="J6" s="250" t="s">
        <v>39</v>
      </c>
      <c r="K6" s="19"/>
      <c r="L6" s="19"/>
      <c r="M6" s="62"/>
    </row>
    <row r="7" spans="2:17" ht="18" customHeight="1" thickBot="1" x14ac:dyDescent="0.3">
      <c r="F7" s="5"/>
    </row>
    <row r="8" spans="2:17" ht="18" customHeight="1" x14ac:dyDescent="0.25">
      <c r="B8" s="270" t="s">
        <v>491</v>
      </c>
      <c r="C8" s="270"/>
      <c r="D8" s="270"/>
      <c r="F8" s="5"/>
      <c r="K8" s="256" t="s">
        <v>492</v>
      </c>
      <c r="L8" s="257"/>
      <c r="M8" s="258"/>
      <c r="O8" s="12" t="s">
        <v>368</v>
      </c>
      <c r="P8" s="13" t="s">
        <v>11</v>
      </c>
      <c r="Q8" s="13" t="s">
        <v>12</v>
      </c>
    </row>
    <row r="9" spans="2:17" ht="18" customHeight="1" x14ac:dyDescent="0.25">
      <c r="B9" s="275"/>
      <c r="C9" s="275"/>
      <c r="D9" s="275"/>
      <c r="F9" s="5"/>
      <c r="K9" s="23" t="s">
        <v>362</v>
      </c>
      <c r="L9" s="22">
        <f>VLOOKUP(J6,BASE!B3:J126,9,0)</f>
        <v>7515</v>
      </c>
      <c r="M9" s="24">
        <f>L9/C10</f>
        <v>0.44694897109551562</v>
      </c>
      <c r="O9" s="14" t="s">
        <v>369</v>
      </c>
      <c r="P9" s="11">
        <f>VLOOKUP(J6,BASE!B3:L126,11,0)*-1</f>
        <v>-999</v>
      </c>
      <c r="Q9" s="15">
        <f>(VLOOKUP(J6,BASE!B3:AA126,26,0))</f>
        <v>988</v>
      </c>
    </row>
    <row r="10" spans="2:17" ht="18" customHeight="1" thickBot="1" x14ac:dyDescent="0.3">
      <c r="B10" s="233" t="s">
        <v>386</v>
      </c>
      <c r="C10" s="223">
        <f>VLOOKUP(J6,BASE!B3:D126,3,0)</f>
        <v>16814</v>
      </c>
      <c r="D10" s="234" t="s">
        <v>359</v>
      </c>
      <c r="F10" s="5"/>
      <c r="K10" s="25" t="s">
        <v>363</v>
      </c>
      <c r="L10" s="26">
        <f>VLOOKUP(J6,BASE!B3:K126,10,0)</f>
        <v>9299</v>
      </c>
      <c r="M10" s="27">
        <f>L10/C10</f>
        <v>0.55305102890448432</v>
      </c>
      <c r="O10" s="16" t="s">
        <v>370</v>
      </c>
      <c r="P10" s="11">
        <f>VLOOKUP(J6,BASE!B3:M126,12,0)*-1</f>
        <v>-1000</v>
      </c>
      <c r="Q10" s="15">
        <f>VLOOKUP(J6,BASE!B3:AB126,27,0)</f>
        <v>933</v>
      </c>
    </row>
    <row r="11" spans="2:17" ht="18" customHeight="1" x14ac:dyDescent="0.25">
      <c r="B11" s="215" t="s">
        <v>387</v>
      </c>
      <c r="C11" s="22">
        <f>VLOOKUP(J6,BASE!B3:C126,2,0)</f>
        <v>14189</v>
      </c>
      <c r="D11" s="235" t="s">
        <v>359</v>
      </c>
      <c r="F11" s="5"/>
      <c r="O11" s="17" t="s">
        <v>371</v>
      </c>
      <c r="P11" s="11">
        <f>VLOOKUP(J6,BASE!B3:N126,13,0)*-1</f>
        <v>-1053</v>
      </c>
      <c r="Q11" s="15">
        <f>VLOOKUP(J6,BASE!B3:AC126,28,0)</f>
        <v>1008</v>
      </c>
    </row>
    <row r="12" spans="2:17" ht="18" customHeight="1" x14ac:dyDescent="0.25">
      <c r="B12" s="265" t="s">
        <v>1004</v>
      </c>
      <c r="C12" s="223">
        <f>C10-C11</f>
        <v>2625</v>
      </c>
      <c r="D12" s="234" t="s">
        <v>359</v>
      </c>
      <c r="F12" s="5"/>
      <c r="O12" s="14" t="s">
        <v>372</v>
      </c>
      <c r="P12" s="11">
        <f>VLOOKUP(J6,BASE!B3:O126,14,0)*-1</f>
        <v>-1044</v>
      </c>
      <c r="Q12" s="15">
        <f>VLOOKUP(J6,BASE!B3:AD126,29,0)</f>
        <v>1025</v>
      </c>
    </row>
    <row r="13" spans="2:17" ht="18" customHeight="1" thickBot="1" x14ac:dyDescent="0.3">
      <c r="B13" s="266"/>
      <c r="C13" s="237">
        <f>C10/C11*100-100</f>
        <v>18.500246669955601</v>
      </c>
      <c r="D13" s="236" t="s">
        <v>360</v>
      </c>
      <c r="F13" s="5"/>
      <c r="O13" s="14" t="s">
        <v>373</v>
      </c>
      <c r="P13" s="11">
        <f>VLOOKUP(J6,BASE!B3:P126,15,0)*-1</f>
        <v>-690</v>
      </c>
      <c r="Q13" s="15">
        <f>VLOOKUP(J6,BASE!B3:AE126,30,0)</f>
        <v>736</v>
      </c>
    </row>
    <row r="14" spans="2:17" ht="18" customHeight="1" x14ac:dyDescent="0.25">
      <c r="F14" s="5"/>
      <c r="O14" s="14" t="s">
        <v>374</v>
      </c>
      <c r="P14" s="11">
        <f>VLOOKUP(J6,BASE!B3:Q126,16,0)*-1</f>
        <v>-548</v>
      </c>
      <c r="Q14" s="15">
        <f>VLOOKUP(J6,BASE!B3:AF126,31,0)</f>
        <v>634</v>
      </c>
    </row>
    <row r="15" spans="2:17" ht="18" customHeight="1" thickBot="1" x14ac:dyDescent="0.3">
      <c r="F15" s="5"/>
      <c r="O15" s="14" t="s">
        <v>375</v>
      </c>
      <c r="P15" s="11">
        <f>VLOOKUP(J6,BASE!B3:R126,17,0)*-1</f>
        <v>-527</v>
      </c>
      <c r="Q15" s="15">
        <f>VLOOKUP(J6,BASE!B3:AG126,32,0)</f>
        <v>566</v>
      </c>
    </row>
    <row r="16" spans="2:17" ht="18" customHeight="1" x14ac:dyDescent="0.25">
      <c r="B16" s="269" t="s">
        <v>493</v>
      </c>
      <c r="C16" s="270"/>
      <c r="D16" s="271"/>
      <c r="F16" s="5"/>
      <c r="O16" s="14" t="s">
        <v>376</v>
      </c>
      <c r="P16" s="11">
        <f>VLOOKUP(J6,BASE!B3:S126,18,0)*-1</f>
        <v>-489</v>
      </c>
      <c r="Q16" s="15">
        <f>VLOOKUP(J6,BASE!B3:AH126,33,0)</f>
        <v>526</v>
      </c>
    </row>
    <row r="17" spans="2:17" ht="23.1" customHeight="1" x14ac:dyDescent="0.25">
      <c r="B17" s="225" t="s">
        <v>11</v>
      </c>
      <c r="C17" s="223">
        <f>VLOOKUP(J6,BASE!B3:H126,7,0)</f>
        <v>8436</v>
      </c>
      <c r="D17" s="224">
        <f>C17/$C$10</f>
        <v>0.50172475318187226</v>
      </c>
      <c r="F17" s="5"/>
      <c r="O17" s="14" t="s">
        <v>377</v>
      </c>
      <c r="P17" s="11">
        <f>VLOOKUP(J6,BASE!B3:T126,19,0)*-1</f>
        <v>-407</v>
      </c>
      <c r="Q17" s="15">
        <f>VLOOKUP(J6,BASE!B3:AI126,34,0)</f>
        <v>431</v>
      </c>
    </row>
    <row r="18" spans="2:17" ht="23.1" customHeight="1" x14ac:dyDescent="0.25">
      <c r="B18" s="28" t="s">
        <v>12</v>
      </c>
      <c r="C18" s="22">
        <f>VLOOKUP(J6,BASE!B3:I126,8,0)</f>
        <v>8378</v>
      </c>
      <c r="D18" s="29">
        <f>C18/$C$10</f>
        <v>0.49827524681812774</v>
      </c>
      <c r="F18" s="5"/>
      <c r="O18" s="14" t="s">
        <v>378</v>
      </c>
      <c r="P18" s="11">
        <f>VLOOKUP(J6,BASE!B3:U126,20,0)*-1</f>
        <v>-341</v>
      </c>
      <c r="Q18" s="15">
        <f>VLOOKUP(J6,BASE!B3:AJ126,35,0)</f>
        <v>370</v>
      </c>
    </row>
    <row r="19" spans="2:17" ht="23.1" customHeight="1" thickBot="1" x14ac:dyDescent="0.3">
      <c r="B19" s="267" t="s">
        <v>361</v>
      </c>
      <c r="C19" s="268"/>
      <c r="D19" s="30">
        <f>C17/C18*100</f>
        <v>100.69228932919552</v>
      </c>
      <c r="F19" s="5"/>
      <c r="O19" s="14" t="s">
        <v>379</v>
      </c>
      <c r="P19" s="11">
        <f>VLOOKUP(J6,BASE!B3:V126,21,0)*-1</f>
        <v>-297</v>
      </c>
      <c r="Q19" s="15">
        <f>VLOOKUP(J6,BASE!B3:AK126,36,0)</f>
        <v>299</v>
      </c>
    </row>
    <row r="20" spans="2:17" ht="18" customHeight="1" x14ac:dyDescent="0.25">
      <c r="F20" s="5"/>
      <c r="O20" s="14" t="s">
        <v>380</v>
      </c>
      <c r="P20" s="11">
        <f>VLOOKUP(J6,BASE!B3:W126,22,0)*-1</f>
        <v>-278</v>
      </c>
      <c r="Q20" s="15">
        <f>VLOOKUP(J6,BASE!B3:AL126,37,0)</f>
        <v>264</v>
      </c>
    </row>
    <row r="21" spans="2:17" ht="18" customHeight="1" x14ac:dyDescent="0.25">
      <c r="F21" s="5"/>
      <c r="O21" s="14" t="s">
        <v>381</v>
      </c>
      <c r="P21" s="11">
        <f>VLOOKUP(J6,BASE!B3:X126,23,0)*-1</f>
        <v>-256</v>
      </c>
      <c r="Q21" s="15">
        <f>VLOOKUP(J6,BASE!B3:AM126,38,0)</f>
        <v>188</v>
      </c>
    </row>
    <row r="22" spans="2:17" ht="18" customHeight="1" x14ac:dyDescent="0.25">
      <c r="F22" s="5"/>
      <c r="O22" s="14" t="s">
        <v>382</v>
      </c>
      <c r="P22" s="11">
        <f>VLOOKUP(J6,BASE!B3:Y126,24,0)*-1</f>
        <v>-506</v>
      </c>
      <c r="Q22" s="15">
        <f>VLOOKUP(J6,BASE!B3:AN126,39,0)</f>
        <v>410</v>
      </c>
    </row>
    <row r="23" spans="2:17" ht="18" customHeight="1" x14ac:dyDescent="0.25">
      <c r="F23" s="5"/>
    </row>
    <row r="24" spans="2:17" ht="18" customHeight="1" thickBot="1" x14ac:dyDescent="0.3">
      <c r="F24" s="5"/>
    </row>
    <row r="25" spans="2:17" ht="18" customHeight="1" x14ac:dyDescent="0.25">
      <c r="B25" s="272" t="s">
        <v>494</v>
      </c>
      <c r="C25" s="273"/>
      <c r="D25" s="273"/>
      <c r="E25" s="274"/>
      <c r="F25" s="5"/>
    </row>
    <row r="26" spans="2:17" ht="18" customHeight="1" x14ac:dyDescent="0.25">
      <c r="B26" s="259" t="s">
        <v>364</v>
      </c>
      <c r="C26" s="260"/>
      <c r="D26" s="22">
        <f>VLOOKUP(J6,BASE!B3:AP126,41,0)</f>
        <v>16252</v>
      </c>
      <c r="E26" s="29">
        <f>D26/$C$10</f>
        <v>0.96657547282026879</v>
      </c>
      <c r="F26" s="5"/>
      <c r="J26" s="5"/>
      <c r="K26" s="5"/>
      <c r="L26" s="5"/>
    </row>
    <row r="27" spans="2:17" ht="18" customHeight="1" x14ac:dyDescent="0.25">
      <c r="B27" s="261" t="s">
        <v>365</v>
      </c>
      <c r="C27" s="262"/>
      <c r="D27" s="223">
        <f>VLOOKUP(J6,BASE!B3:AQ126,42,0)</f>
        <v>418</v>
      </c>
      <c r="E27" s="224">
        <f>IFERROR(D27/$C$10,"ND")</f>
        <v>2.4860235518020697E-2</v>
      </c>
      <c r="F27" s="5"/>
      <c r="J27" s="5"/>
      <c r="K27" s="5"/>
      <c r="L27" s="5"/>
    </row>
    <row r="28" spans="2:17" ht="23.1" customHeight="1" x14ac:dyDescent="0.25">
      <c r="B28" s="259" t="s">
        <v>366</v>
      </c>
      <c r="C28" s="260"/>
      <c r="D28" s="22">
        <f>VLOOKUP(J6,BASE!B3:AR126,43,0)</f>
        <v>38</v>
      </c>
      <c r="E28" s="29">
        <f>IFERROR(D28/$C$10,"ND")</f>
        <v>2.2600214107291543E-3</v>
      </c>
      <c r="F28" s="5"/>
      <c r="J28" s="5"/>
      <c r="K28" s="5"/>
      <c r="L28" s="5"/>
    </row>
    <row r="29" spans="2:17" ht="18" customHeight="1" x14ac:dyDescent="0.25">
      <c r="B29" s="261" t="s">
        <v>367</v>
      </c>
      <c r="C29" s="262"/>
      <c r="D29" s="223">
        <f>VLOOKUP(J6,BASE!B3:AS126,44,0)</f>
        <v>70</v>
      </c>
      <c r="E29" s="224">
        <f>IFERROR(D29/$C$10,"ND")</f>
        <v>4.163197335553705E-3</v>
      </c>
      <c r="F29" s="5"/>
      <c r="J29" s="5"/>
      <c r="K29" s="5"/>
      <c r="L29" s="5"/>
    </row>
    <row r="30" spans="2:17" ht="18" customHeight="1" thickBot="1" x14ac:dyDescent="0.3">
      <c r="B30" s="263" t="s">
        <v>9</v>
      </c>
      <c r="C30" s="264"/>
      <c r="D30" s="31">
        <f>VLOOKUP(J6,BASE!B3:AT126,45,0)</f>
        <v>36</v>
      </c>
      <c r="E30" s="32">
        <f>IFERROR(D30/$C$10,"ND")</f>
        <v>2.1410729154276199E-3</v>
      </c>
      <c r="F30" s="5"/>
      <c r="J30" s="5"/>
      <c r="K30" s="5"/>
      <c r="L30" s="5"/>
    </row>
    <row r="31" spans="2:17" ht="23.25" customHeight="1" x14ac:dyDescent="0.25">
      <c r="F31" s="5"/>
      <c r="J31" s="5"/>
      <c r="K31" s="5"/>
      <c r="L31" s="5"/>
    </row>
    <row r="32" spans="2:17" ht="23.25" customHeight="1" x14ac:dyDescent="0.25">
      <c r="F32" s="5"/>
      <c r="J32" s="5"/>
      <c r="K32" s="5"/>
      <c r="L32" s="5"/>
    </row>
    <row r="33" spans="6:12" ht="23.25" customHeight="1" x14ac:dyDescent="0.25">
      <c r="F33" s="5"/>
      <c r="J33" s="5"/>
      <c r="K33" s="5"/>
      <c r="L33" s="5"/>
    </row>
    <row r="34" spans="6:12" ht="23.25" customHeight="1" x14ac:dyDescent="0.25"/>
    <row r="35" spans="6:12" ht="23.25" customHeight="1" x14ac:dyDescent="0.25"/>
  </sheetData>
  <sheetProtection password="EBC7" sheet="1" objects="1" scenarios="1"/>
  <mergeCells count="11">
    <mergeCell ref="K8:M8"/>
    <mergeCell ref="B28:C28"/>
    <mergeCell ref="B29:C29"/>
    <mergeCell ref="B30:C30"/>
    <mergeCell ref="B12:B13"/>
    <mergeCell ref="B19:C19"/>
    <mergeCell ref="B16:D16"/>
    <mergeCell ref="B26:C26"/>
    <mergeCell ref="B27:C27"/>
    <mergeCell ref="B25:E25"/>
    <mergeCell ref="B8:D9"/>
  </mergeCells>
  <phoneticPr fontId="14" type="noConversion"/>
  <hyperlinks>
    <hyperlink ref="M4" location="PRESENTACIÓN!C7" display="INICIO"/>
  </hyperlinks>
  <pageMargins left="0.43307086614173229" right="0.23622047244094491" top="0.15748031496062992" bottom="0.15748031496062992" header="0" footer="0"/>
  <pageSetup orientation="landscape" r:id="rId1"/>
  <ignoredErrors>
    <ignoredError sqref="B10:B11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BASE!$B$3:$B$126</xm:f>
          </x14:formula1>
          <xm:sqref>J6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>
      <selection activeCell="O15" sqref="O15"/>
    </sheetView>
  </sheetViews>
  <sheetFormatPr baseColWidth="10" defaultColWidth="11.140625" defaultRowHeight="12.75" x14ac:dyDescent="0.2"/>
  <cols>
    <col min="1" max="1" width="6.140625" style="205" customWidth="1"/>
    <col min="2" max="5" width="11.140625" style="205"/>
    <col min="6" max="6" width="6.140625" style="205" customWidth="1"/>
    <col min="7" max="8" width="11.140625" style="205"/>
    <col min="9" max="9" width="16.5703125" style="205" bestFit="1" customWidth="1"/>
    <col min="10" max="13" width="11.140625" style="205"/>
    <col min="14" max="14" width="14.5703125" style="206" customWidth="1"/>
    <col min="15" max="15" width="11.140625" style="206"/>
    <col min="16" max="16" width="26.28515625" style="206" customWidth="1"/>
    <col min="17" max="16384" width="11.140625" style="205"/>
  </cols>
  <sheetData>
    <row r="1" spans="1:19" ht="18.75" customHeight="1" x14ac:dyDescent="0.2"/>
    <row r="2" spans="1:19" ht="18.75" customHeight="1" x14ac:dyDescent="0.2"/>
    <row r="3" spans="1:19" ht="18.75" customHeight="1" x14ac:dyDescent="0.2"/>
    <row r="4" spans="1:19" ht="18.75" customHeight="1" x14ac:dyDescent="0.2">
      <c r="B4" s="33" t="s">
        <v>1003</v>
      </c>
      <c r="L4" s="247" t="s">
        <v>1000</v>
      </c>
    </row>
    <row r="5" spans="1:19" ht="18.75" customHeight="1" x14ac:dyDescent="0.25">
      <c r="B5" s="34" t="s">
        <v>686</v>
      </c>
    </row>
    <row r="6" spans="1:19" ht="22.5" customHeight="1" x14ac:dyDescent="0.2">
      <c r="B6" s="35" t="s">
        <v>1002</v>
      </c>
      <c r="H6" s="38" t="s">
        <v>8</v>
      </c>
      <c r="I6" s="64" t="str">
        <f>VLOOKUP('POBLACIÓN TOTAL'!$J$6,BASE!B3:B126,1,0)</f>
        <v>Acacoyagua</v>
      </c>
      <c r="J6" s="207"/>
      <c r="K6" s="207"/>
      <c r="L6" s="208"/>
    </row>
    <row r="7" spans="1:19" ht="18.75" customHeight="1" thickBot="1" x14ac:dyDescent="0.25"/>
    <row r="8" spans="1:19" s="210" customFormat="1" ht="42" customHeight="1" thickBot="1" x14ac:dyDescent="0.3">
      <c r="A8" s="209"/>
      <c r="B8" s="276" t="s">
        <v>1005</v>
      </c>
      <c r="C8" s="277"/>
      <c r="D8" s="278"/>
      <c r="E8" s="209"/>
      <c r="F8" s="209"/>
      <c r="G8" s="209"/>
      <c r="H8" s="209"/>
      <c r="I8" s="209"/>
      <c r="J8" s="276" t="s">
        <v>1006</v>
      </c>
      <c r="K8" s="277"/>
      <c r="L8" s="278"/>
      <c r="N8" s="283" t="s">
        <v>415</v>
      </c>
      <c r="O8" s="283"/>
      <c r="P8" s="211"/>
      <c r="Q8" s="12" t="s">
        <v>368</v>
      </c>
      <c r="R8" s="211" t="s">
        <v>11</v>
      </c>
      <c r="S8" s="211" t="s">
        <v>12</v>
      </c>
    </row>
    <row r="9" spans="1:19" s="210" customFormat="1" ht="28.5" customHeight="1" thickBot="1" x14ac:dyDescent="0.3">
      <c r="B9" s="212" t="s">
        <v>10</v>
      </c>
      <c r="C9" s="213">
        <f>VLOOKUP(I6,BASE!B3:AU126,46,0)</f>
        <v>29</v>
      </c>
      <c r="D9" s="214" t="s">
        <v>0</v>
      </c>
      <c r="J9" s="215" t="s">
        <v>11</v>
      </c>
      <c r="K9" s="22">
        <f>VLOOKUP(I6,BASE!B3:AV126,47,0)</f>
        <v>21</v>
      </c>
      <c r="L9" s="24">
        <f>K9/C9</f>
        <v>0.72413793103448276</v>
      </c>
      <c r="N9" s="211" t="s">
        <v>387</v>
      </c>
      <c r="O9" s="216">
        <f>VLOOKUP(I6,BASE!B3:AX126,49,0)</f>
        <v>58</v>
      </c>
      <c r="P9" s="211"/>
      <c r="Q9" s="14" t="s">
        <v>476</v>
      </c>
      <c r="R9" s="216">
        <f>VLOOKUP(I6,BASE!B3:BB126,53,0)*-1</f>
        <v>0</v>
      </c>
      <c r="S9" s="216">
        <f>VLOOKUP(I6,BASE!B3:BC126,54,0)</f>
        <v>0</v>
      </c>
    </row>
    <row r="10" spans="1:19" s="210" customFormat="1" ht="28.5" customHeight="1" thickBot="1" x14ac:dyDescent="0.3">
      <c r="J10" s="222" t="s">
        <v>12</v>
      </c>
      <c r="K10" s="26">
        <f>VLOOKUP(I6,BASE!B3:AW126,48,0)</f>
        <v>8</v>
      </c>
      <c r="L10" s="27">
        <f>K10/C9</f>
        <v>0.27586206896551724</v>
      </c>
      <c r="N10" s="211" t="s">
        <v>386</v>
      </c>
      <c r="O10" s="216">
        <f>VLOOKUP(I6,BASE!B3:AY126,50,0)</f>
        <v>29</v>
      </c>
      <c r="P10" s="211"/>
      <c r="Q10" s="16" t="s">
        <v>370</v>
      </c>
      <c r="R10" s="216">
        <f>VLOOKUP(I6,BASE!B3:BD126,55,0)*-1</f>
        <v>0</v>
      </c>
      <c r="S10" s="216">
        <f>VLOOKUP(I6,BASE!B3:BE126,56,0)</f>
        <v>0</v>
      </c>
    </row>
    <row r="11" spans="1:19" s="210" customFormat="1" ht="28.5" customHeight="1" thickBot="1" x14ac:dyDescent="0.3">
      <c r="N11" s="211" t="s">
        <v>385</v>
      </c>
      <c r="O11" s="216">
        <f>VLOOKUP(I6,BASE!B3:AU126,46,0)</f>
        <v>29</v>
      </c>
      <c r="P11" s="211"/>
      <c r="Q11" s="17" t="s">
        <v>371</v>
      </c>
      <c r="R11" s="216">
        <f>VLOOKUP(I6,BASE!B3:BF126,57,0)*-1</f>
        <v>0</v>
      </c>
      <c r="S11" s="216">
        <f>VLOOKUP(I6,BASE!B3:BG126,58,0)</f>
        <v>0</v>
      </c>
    </row>
    <row r="12" spans="1:19" s="210" customFormat="1" ht="28.5" customHeight="1" x14ac:dyDescent="0.25">
      <c r="G12" s="279" t="s">
        <v>1036</v>
      </c>
      <c r="H12" s="280"/>
      <c r="I12" s="281"/>
      <c r="J12" s="209"/>
      <c r="K12" s="209"/>
      <c r="L12" s="209"/>
      <c r="N12" s="211"/>
      <c r="O12" s="211"/>
      <c r="P12" s="211"/>
      <c r="Q12" s="14" t="s">
        <v>372</v>
      </c>
      <c r="R12" s="216">
        <f>VLOOKUP(I6,BASE!B3:BH126,59,0)*-1</f>
        <v>0</v>
      </c>
      <c r="S12" s="216">
        <f>VLOOKUP(I6,BASE!B3:BI126,60,0)</f>
        <v>1</v>
      </c>
    </row>
    <row r="13" spans="1:19" s="210" customFormat="1" ht="28.5" customHeight="1" x14ac:dyDescent="0.25">
      <c r="G13" s="215" t="s">
        <v>362</v>
      </c>
      <c r="H13" s="22">
        <f>VLOOKUP(I6,BASE!B3:BA126,52,0)</f>
        <v>11</v>
      </c>
      <c r="I13" s="24">
        <f>H13/C9</f>
        <v>0.37931034482758619</v>
      </c>
      <c r="N13" s="211"/>
      <c r="O13" s="211"/>
      <c r="P13" s="211"/>
      <c r="Q13" s="14" t="s">
        <v>373</v>
      </c>
      <c r="R13" s="216">
        <f>VLOOKUP(I6,BASE!B3:BJ126,61,0)*-1</f>
        <v>0</v>
      </c>
      <c r="S13" s="216">
        <f>VLOOKUP(I6,BASE!B3:BK126,62,0)</f>
        <v>1</v>
      </c>
    </row>
    <row r="14" spans="1:19" s="210" customFormat="1" ht="28.5" customHeight="1" thickBot="1" x14ac:dyDescent="0.3">
      <c r="F14" s="217"/>
      <c r="G14" s="222" t="s">
        <v>363</v>
      </c>
      <c r="H14" s="26">
        <f>VLOOKUP(I6,BASE!B3:AZ126,51,0)</f>
        <v>18</v>
      </c>
      <c r="I14" s="27">
        <f>H14/C9</f>
        <v>0.62068965517241381</v>
      </c>
      <c r="N14" s="282" t="s">
        <v>3</v>
      </c>
      <c r="O14" s="282"/>
      <c r="P14" s="282"/>
      <c r="Q14" s="14" t="s">
        <v>374</v>
      </c>
      <c r="R14" s="216">
        <f>VLOOKUP(I6,BASE!B3:BL126,63,0)*-1</f>
        <v>-1</v>
      </c>
      <c r="S14" s="216">
        <f>VLOOKUP(I6,BASE!B3:BM126,64,0)</f>
        <v>1</v>
      </c>
    </row>
    <row r="15" spans="1:19" s="210" customFormat="1" ht="28.5" customHeight="1" x14ac:dyDescent="0.25">
      <c r="N15" s="218" t="s">
        <v>488</v>
      </c>
      <c r="O15" s="219">
        <f>O16+O17</f>
        <v>26</v>
      </c>
      <c r="P15" s="220">
        <f>O15/C9</f>
        <v>0.89655172413793105</v>
      </c>
      <c r="Q15" s="14" t="s">
        <v>375</v>
      </c>
      <c r="R15" s="216">
        <f>VLOOKUP(I6,BASE!B3:BN126,65,0)*-1</f>
        <v>0</v>
      </c>
      <c r="S15" s="216">
        <f>VLOOKUP(I6,BASE!B3:BO126,66,0)</f>
        <v>1</v>
      </c>
    </row>
    <row r="16" spans="1:19" s="210" customFormat="1" ht="28.5" customHeight="1" x14ac:dyDescent="0.25">
      <c r="N16" s="221" t="s">
        <v>485</v>
      </c>
      <c r="O16" s="219">
        <f>VLOOKUP(I6,BASE!B3:CD126,81,0)</f>
        <v>19</v>
      </c>
      <c r="P16" s="220">
        <f>O16/O15</f>
        <v>0.73076923076923073</v>
      </c>
      <c r="Q16" s="14" t="s">
        <v>376</v>
      </c>
      <c r="R16" s="216">
        <f>VLOOKUP(I6,BASE!B3:BP126,67,0)*-1</f>
        <v>-2</v>
      </c>
      <c r="S16" s="216">
        <f>VLOOKUP(I6,BASE!B3:BQ126,68,0)</f>
        <v>1</v>
      </c>
    </row>
    <row r="17" spans="14:19" s="210" customFormat="1" ht="28.5" customHeight="1" x14ac:dyDescent="0.25">
      <c r="N17" s="221" t="s">
        <v>486</v>
      </c>
      <c r="O17" s="219">
        <f>VLOOKUP(I6,BASE!B3:CE126,82,0)</f>
        <v>7</v>
      </c>
      <c r="P17" s="220">
        <f>O17/O15</f>
        <v>0.26923076923076922</v>
      </c>
      <c r="Q17" s="14" t="s">
        <v>377</v>
      </c>
      <c r="R17" s="216">
        <f>VLOOKUP(I6,BASE!B3:BR126,69,0)*-1</f>
        <v>-2</v>
      </c>
      <c r="S17" s="216">
        <f>VLOOKUP(I6,BASE!B3:BS126,70,0)</f>
        <v>0</v>
      </c>
    </row>
    <row r="18" spans="14:19" ht="27.75" customHeight="1" x14ac:dyDescent="0.2">
      <c r="N18" s="218" t="s">
        <v>487</v>
      </c>
      <c r="O18" s="219">
        <f>O19+O20</f>
        <v>0</v>
      </c>
      <c r="P18" s="220">
        <f>O18/C9</f>
        <v>0</v>
      </c>
      <c r="Q18" s="14" t="s">
        <v>378</v>
      </c>
      <c r="R18" s="216">
        <f>VLOOKUP(I6,BASE!B3:BT126,71,0)*-1</f>
        <v>-1</v>
      </c>
      <c r="S18" s="216">
        <f>VLOOKUP(I6,BASE!B3:BU126,72,0)</f>
        <v>0</v>
      </c>
    </row>
    <row r="19" spans="14:19" ht="27.75" customHeight="1" x14ac:dyDescent="0.2">
      <c r="N19" s="221" t="s">
        <v>489</v>
      </c>
      <c r="O19" s="219">
        <f>VLOOKUP(I6,BASE!B3:CF126,83,0)</f>
        <v>0</v>
      </c>
      <c r="P19" s="220" t="e">
        <f>O19/O18</f>
        <v>#DIV/0!</v>
      </c>
      <c r="Q19" s="14" t="s">
        <v>379</v>
      </c>
      <c r="R19" s="216">
        <f>VLOOKUP(I6,BASE!B3:BV126,73,0)*-1</f>
        <v>-2</v>
      </c>
      <c r="S19" s="216">
        <f>VLOOKUP(I6,BASE!B3:BW126,74,0)</f>
        <v>1</v>
      </c>
    </row>
    <row r="20" spans="14:19" ht="27.75" customHeight="1" x14ac:dyDescent="0.2">
      <c r="N20" s="221" t="s">
        <v>490</v>
      </c>
      <c r="O20" s="219">
        <f>VLOOKUP(I6,BASE!B3:CG126,84,0)</f>
        <v>0</v>
      </c>
      <c r="P20" s="220" t="e">
        <f>O20/O18</f>
        <v>#DIV/0!</v>
      </c>
      <c r="Q20" s="14" t="s">
        <v>380</v>
      </c>
      <c r="R20" s="216">
        <f>VLOOKUP(I6,BASE!B3:BX126,75,0)*-1</f>
        <v>-4</v>
      </c>
      <c r="S20" s="216">
        <f>VLOOKUP(I6,BASE!B3:BY126,76,0)</f>
        <v>0</v>
      </c>
    </row>
    <row r="21" spans="14:19" ht="27.75" customHeight="1" x14ac:dyDescent="0.2">
      <c r="Q21" s="14" t="s">
        <v>381</v>
      </c>
      <c r="R21" s="216">
        <f>VLOOKUP(I6,BASE!B3:BZ126,77,0)*-1</f>
        <v>-2</v>
      </c>
      <c r="S21" s="216">
        <f>VLOOKUP(I6,BASE!B3:CA126,78,0)</f>
        <v>0</v>
      </c>
    </row>
    <row r="22" spans="14:19" ht="27.75" customHeight="1" x14ac:dyDescent="0.2">
      <c r="Q22" s="14" t="s">
        <v>382</v>
      </c>
      <c r="R22" s="216">
        <f>VLOOKUP(I6,BASE!B3:CB126,79,0)*-1</f>
        <v>-7</v>
      </c>
      <c r="S22" s="216">
        <f>VLOOKUP(I6,BASE!B3:CC126,80,0)</f>
        <v>2</v>
      </c>
    </row>
    <row r="23" spans="14:19" ht="27.75" customHeight="1" x14ac:dyDescent="0.2"/>
  </sheetData>
  <sheetProtection password="EBC7" sheet="1" objects="1" scenarios="1"/>
  <mergeCells count="5">
    <mergeCell ref="B8:D8"/>
    <mergeCell ref="J8:L8"/>
    <mergeCell ref="G12:I12"/>
    <mergeCell ref="N14:P14"/>
    <mergeCell ref="N8:O8"/>
  </mergeCells>
  <hyperlinks>
    <hyperlink ref="L4" location="PRESENTACIÓN!C7" display="INICIO"/>
  </hyperlinks>
  <pageMargins left="0.43307086614173229" right="0.23622047244094491" top="0" bottom="0" header="0.31496062992125984" footer="0.31496062992125984"/>
  <pageSetup orientation="landscape" r:id="rId1"/>
  <ignoredErrors>
    <ignoredError sqref="N9:N11" numberStoredAsText="1"/>
    <ignoredError sqref="P19:P20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15" zoomScaleNormal="115" workbookViewId="0">
      <selection activeCell="I4" sqref="I4"/>
    </sheetView>
  </sheetViews>
  <sheetFormatPr baseColWidth="10" defaultRowHeight="22.5" customHeight="1" x14ac:dyDescent="0.2"/>
  <cols>
    <col min="1" max="1" width="5.85546875" style="39" customWidth="1"/>
    <col min="2" max="2" width="20.28515625" style="39" customWidth="1"/>
    <col min="3" max="3" width="13.140625" style="39" customWidth="1"/>
    <col min="4" max="4" width="10.28515625" style="39" customWidth="1"/>
    <col min="5" max="5" width="5.5703125" style="39" customWidth="1"/>
    <col min="6" max="6" width="25.85546875" style="39" customWidth="1"/>
    <col min="7" max="7" width="14" style="39" customWidth="1"/>
    <col min="8" max="8" width="14.42578125" style="39" customWidth="1"/>
    <col min="9" max="9" width="13.7109375" style="39" customWidth="1"/>
    <col min="10" max="10" width="12.28515625" style="39" customWidth="1"/>
    <col min="11" max="16384" width="11.42578125" style="39"/>
  </cols>
  <sheetData>
    <row r="1" spans="2:9" ht="18.75" customHeight="1" x14ac:dyDescent="0.2"/>
    <row r="2" spans="2:9" ht="18.75" customHeight="1" x14ac:dyDescent="0.2"/>
    <row r="3" spans="2:9" ht="18.75" customHeight="1" x14ac:dyDescent="0.2"/>
    <row r="4" spans="2:9" ht="18.75" customHeight="1" x14ac:dyDescent="0.2">
      <c r="B4" s="33" t="s">
        <v>1003</v>
      </c>
      <c r="C4" s="43"/>
      <c r="D4" s="43"/>
      <c r="E4" s="43"/>
      <c r="F4" s="43"/>
      <c r="G4" s="43"/>
      <c r="I4" s="247" t="s">
        <v>1000</v>
      </c>
    </row>
    <row r="5" spans="2:9" ht="18.75" customHeight="1" x14ac:dyDescent="0.2">
      <c r="B5" s="36" t="s">
        <v>5</v>
      </c>
      <c r="C5" s="43"/>
      <c r="D5" s="43"/>
      <c r="E5" s="43"/>
      <c r="F5" s="43"/>
      <c r="G5" s="43"/>
    </row>
    <row r="6" spans="2:9" ht="21" customHeight="1" x14ac:dyDescent="0.2">
      <c r="B6" s="35" t="s">
        <v>1001</v>
      </c>
      <c r="C6" s="43"/>
      <c r="D6" s="43"/>
      <c r="E6" s="43"/>
      <c r="F6" s="38" t="s">
        <v>8</v>
      </c>
      <c r="G6" s="64" t="str">
        <f>VLOOKUP('POBLACIÓN TOTAL'!J6,BASE!B3:B126,1,0)</f>
        <v>Acacoyagua</v>
      </c>
      <c r="H6" s="63"/>
      <c r="I6" s="20"/>
    </row>
    <row r="7" spans="2:9" ht="21" customHeight="1" thickBot="1" x14ac:dyDescent="0.25"/>
    <row r="8" spans="2:9" s="21" customFormat="1" ht="21" customHeight="1" x14ac:dyDescent="0.25">
      <c r="B8" s="279" t="s">
        <v>1007</v>
      </c>
      <c r="C8" s="280"/>
      <c r="D8" s="281"/>
      <c r="F8" s="279" t="s">
        <v>1008</v>
      </c>
      <c r="G8" s="280"/>
      <c r="H8" s="281"/>
      <c r="I8" s="1"/>
    </row>
    <row r="9" spans="2:9" s="21" customFormat="1" ht="18.95" customHeight="1" x14ac:dyDescent="0.25">
      <c r="B9" s="44" t="s">
        <v>10</v>
      </c>
      <c r="C9" s="45">
        <f>C10+C11</f>
        <v>3838</v>
      </c>
      <c r="D9" s="46" t="s">
        <v>511</v>
      </c>
      <c r="F9" s="44" t="s">
        <v>10</v>
      </c>
      <c r="G9" s="45">
        <f>G10+G11</f>
        <v>16814</v>
      </c>
      <c r="H9" s="46" t="s">
        <v>359</v>
      </c>
    </row>
    <row r="10" spans="2:9" s="21" customFormat="1" ht="18.95" customHeight="1" x14ac:dyDescent="0.25">
      <c r="B10" s="47" t="s">
        <v>495</v>
      </c>
      <c r="C10" s="48">
        <f>VLOOKUP(G6,BASE!B3:CI126,86,0)</f>
        <v>705</v>
      </c>
      <c r="D10" s="49">
        <f>C10/C9</f>
        <v>0.18368942157373633</v>
      </c>
      <c r="F10" s="53" t="s">
        <v>495</v>
      </c>
      <c r="G10" s="48">
        <f>VLOOKUP(G6,BASE!B3:CK126,88,0)</f>
        <v>2591</v>
      </c>
      <c r="H10" s="49">
        <f>G10/G9</f>
        <v>0.15409777566313787</v>
      </c>
    </row>
    <row r="11" spans="2:9" s="21" customFormat="1" ht="18.95" customHeight="1" thickBot="1" x14ac:dyDescent="0.3">
      <c r="B11" s="50" t="s">
        <v>496</v>
      </c>
      <c r="C11" s="51">
        <f>VLOOKUP(G6,BASE!B3:CH126,85,0)</f>
        <v>3133</v>
      </c>
      <c r="D11" s="52">
        <f>C11/C9</f>
        <v>0.81631057842626364</v>
      </c>
      <c r="F11" s="54" t="s">
        <v>496</v>
      </c>
      <c r="G11" s="51">
        <f>VLOOKUP(G6,BASE!B3:CJ126,87,0)</f>
        <v>14223</v>
      </c>
      <c r="H11" s="52">
        <f>G11/G9</f>
        <v>0.84590222433686213</v>
      </c>
    </row>
    <row r="12" spans="2:9" s="21" customFormat="1" ht="18.95" customHeight="1" x14ac:dyDescent="0.25"/>
    <row r="13" spans="2:9" s="21" customFormat="1" ht="18.95" customHeight="1" x14ac:dyDescent="0.25"/>
    <row r="14" spans="2:9" s="21" customFormat="1" ht="18.95" customHeight="1" x14ac:dyDescent="0.25"/>
    <row r="15" spans="2:9" s="21" customFormat="1" ht="18.95" customHeight="1" thickBot="1" x14ac:dyDescent="0.3"/>
    <row r="16" spans="2:9" s="21" customFormat="1" ht="23.1" customHeight="1" x14ac:dyDescent="0.25">
      <c r="G16" s="286" t="s">
        <v>1010</v>
      </c>
      <c r="H16" s="292"/>
      <c r="I16" s="287"/>
    </row>
    <row r="17" spans="1:9" s="21" customFormat="1" ht="21" customHeight="1" x14ac:dyDescent="0.25">
      <c r="G17" s="288" t="s">
        <v>554</v>
      </c>
      <c r="H17" s="289"/>
      <c r="I17" s="56">
        <f>VLOOKUP(G6,BASE!B3:CR126,95,0)</f>
        <v>2831</v>
      </c>
    </row>
    <row r="18" spans="1:9" s="21" customFormat="1" ht="21" customHeight="1" thickBot="1" x14ac:dyDescent="0.3">
      <c r="G18" s="290" t="s">
        <v>555</v>
      </c>
      <c r="H18" s="291"/>
      <c r="I18" s="57">
        <f>VLOOKUP(G6,BASE!B3:CS126,96,0)</f>
        <v>7969</v>
      </c>
    </row>
    <row r="19" spans="1:9" s="21" customFormat="1" ht="23.1" customHeight="1" x14ac:dyDescent="0.25">
      <c r="A19" s="1"/>
      <c r="B19" s="286" t="s">
        <v>1009</v>
      </c>
      <c r="C19" s="287"/>
      <c r="D19" s="1"/>
      <c r="F19" s="1"/>
      <c r="G19" s="288" t="s">
        <v>556</v>
      </c>
      <c r="H19" s="289"/>
      <c r="I19" s="56">
        <f>VLOOKUP(G6,BASE!B3:CT126,97,0)</f>
        <v>1250</v>
      </c>
    </row>
    <row r="20" spans="1:9" s="21" customFormat="1" ht="21" customHeight="1" x14ac:dyDescent="0.25">
      <c r="B20" s="55" t="s">
        <v>497</v>
      </c>
      <c r="C20" s="56">
        <f>VLOOKUP(G6,BASE!B3:CL126,89,0)</f>
        <v>266</v>
      </c>
      <c r="G20" s="290" t="s">
        <v>557</v>
      </c>
      <c r="H20" s="291"/>
      <c r="I20" s="57">
        <f>VLOOKUP(G6,BASE!B3:CU126,98,0)</f>
        <v>301</v>
      </c>
    </row>
    <row r="21" spans="1:9" s="21" customFormat="1" ht="21" customHeight="1" x14ac:dyDescent="0.25">
      <c r="B21" s="47" t="s">
        <v>498</v>
      </c>
      <c r="C21" s="57">
        <f>VLOOKUP(G6,BASE!B3:CM126,90,0)</f>
        <v>456</v>
      </c>
      <c r="G21" s="288" t="s">
        <v>558</v>
      </c>
      <c r="H21" s="289"/>
      <c r="I21" s="56">
        <f>VLOOKUP(G6,BASE!B3:CV126,99,0)</f>
        <v>119</v>
      </c>
    </row>
    <row r="22" spans="1:9" s="21" customFormat="1" ht="21" customHeight="1" x14ac:dyDescent="0.25">
      <c r="B22" s="58" t="s">
        <v>499</v>
      </c>
      <c r="C22" s="56">
        <f>VLOOKUP(G6,BASE!B3:CN126,91,0)</f>
        <v>666</v>
      </c>
      <c r="G22" s="290" t="s">
        <v>559</v>
      </c>
      <c r="H22" s="291"/>
      <c r="I22" s="57">
        <f>VLOOKUP(G6,BASE!B3:CW126,100,0)</f>
        <v>420</v>
      </c>
    </row>
    <row r="23" spans="1:9" s="21" customFormat="1" ht="21" customHeight="1" thickBot="1" x14ac:dyDescent="0.3">
      <c r="B23" s="47" t="s">
        <v>500</v>
      </c>
      <c r="C23" s="57">
        <f>VLOOKUP(G6,BASE!B3:CO126,92,0)</f>
        <v>747</v>
      </c>
      <c r="G23" s="284" t="s">
        <v>560</v>
      </c>
      <c r="H23" s="285"/>
      <c r="I23" s="61">
        <f>VLOOKUP(G6,BASE!B3:CX126,101,0)</f>
        <v>62</v>
      </c>
    </row>
    <row r="24" spans="1:9" s="21" customFormat="1" ht="21" customHeight="1" thickBot="1" x14ac:dyDescent="0.3">
      <c r="B24" s="58" t="s">
        <v>501</v>
      </c>
      <c r="C24" s="56">
        <f>VLOOKUP(G6,BASE!B3:CP126,93,0)</f>
        <v>711</v>
      </c>
      <c r="H24" s="41"/>
      <c r="I24" s="42"/>
    </row>
    <row r="25" spans="1:9" s="21" customFormat="1" ht="21" customHeight="1" thickBot="1" x14ac:dyDescent="0.3">
      <c r="B25" s="59" t="s">
        <v>502</v>
      </c>
      <c r="C25" s="60">
        <f>VLOOKUP(G6,BASE!B3:CQ126,94,0)</f>
        <v>992</v>
      </c>
      <c r="D25" s="40"/>
    </row>
    <row r="26" spans="1:9" s="21" customFormat="1" ht="22.5" customHeight="1" x14ac:dyDescent="0.25"/>
    <row r="27" spans="1:9" s="68" customFormat="1" ht="22.5" customHeight="1" x14ac:dyDescent="0.25">
      <c r="F27" s="70" t="s">
        <v>4</v>
      </c>
      <c r="G27" s="71">
        <f>SUM(G28:G32)</f>
        <v>16674</v>
      </c>
      <c r="H27" s="70" t="s">
        <v>548</v>
      </c>
    </row>
    <row r="28" spans="1:9" s="69" customFormat="1" ht="22.5" customHeight="1" x14ac:dyDescent="0.2">
      <c r="F28" s="72" t="s">
        <v>549</v>
      </c>
      <c r="G28" s="71">
        <f>VLOOKUP(G6,BASE!B3:CY126,102,0)</f>
        <v>10624</v>
      </c>
      <c r="H28" s="73">
        <f>G28/G27</f>
        <v>0.63715964975410821</v>
      </c>
    </row>
    <row r="29" spans="1:9" s="69" customFormat="1" ht="22.5" customHeight="1" x14ac:dyDescent="0.2">
      <c r="F29" s="72" t="s">
        <v>550</v>
      </c>
      <c r="G29" s="71">
        <f>VLOOKUP(G6,BASE!B3:CZ126,103,0)</f>
        <v>5577</v>
      </c>
      <c r="H29" s="73">
        <f>G29/G27</f>
        <v>0.33447283195394029</v>
      </c>
    </row>
    <row r="30" spans="1:9" s="69" customFormat="1" ht="22.5" customHeight="1" x14ac:dyDescent="0.2">
      <c r="F30" s="72" t="s">
        <v>551</v>
      </c>
      <c r="G30" s="71">
        <f>VLOOKUP(G6,BASE!B3:DA126,104,0)</f>
        <v>184</v>
      </c>
      <c r="H30" s="73">
        <f>G30/G27</f>
        <v>1.1035144536403982E-2</v>
      </c>
    </row>
    <row r="31" spans="1:9" s="69" customFormat="1" ht="22.5" customHeight="1" x14ac:dyDescent="0.2">
      <c r="F31" s="72" t="s">
        <v>552</v>
      </c>
      <c r="G31" s="71">
        <f>VLOOKUP(G6,BASE!B3:DB126,105,0)</f>
        <v>266</v>
      </c>
      <c r="H31" s="73">
        <f>G31/G27</f>
        <v>1.595298068849706E-2</v>
      </c>
    </row>
    <row r="32" spans="1:9" s="69" customFormat="1" ht="22.5" customHeight="1" x14ac:dyDescent="0.2">
      <c r="F32" s="72" t="s">
        <v>553</v>
      </c>
      <c r="G32" s="71">
        <f>VLOOKUP(G6,BASE!B3:DC126,106,0)</f>
        <v>23</v>
      </c>
      <c r="H32" s="73">
        <f>G32/G27</f>
        <v>1.3793930670504978E-3</v>
      </c>
    </row>
  </sheetData>
  <sheetProtection password="EBC7" sheet="1" objects="1" scenarios="1"/>
  <mergeCells count="11">
    <mergeCell ref="B8:D8"/>
    <mergeCell ref="G23:H23"/>
    <mergeCell ref="B19:C19"/>
    <mergeCell ref="G17:H17"/>
    <mergeCell ref="G18:H18"/>
    <mergeCell ref="G16:I16"/>
    <mergeCell ref="G19:H19"/>
    <mergeCell ref="G20:H20"/>
    <mergeCell ref="G21:H21"/>
    <mergeCell ref="G22:H22"/>
    <mergeCell ref="F8:H8"/>
  </mergeCells>
  <phoneticPr fontId="14" type="noConversion"/>
  <hyperlinks>
    <hyperlink ref="I4" location="PRESENTACIÓN!C7" display="INICIO"/>
  </hyperlinks>
  <pageMargins left="0.43307086614173229" right="0.23622047244094491" top="0.74803149606299213" bottom="0.74803149606299213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zoomScaleNormal="100" workbookViewId="0">
      <selection activeCell="J18" sqref="J18"/>
    </sheetView>
  </sheetViews>
  <sheetFormatPr baseColWidth="10" defaultRowHeight="12" x14ac:dyDescent="0.2"/>
  <cols>
    <col min="1" max="1" width="6" style="39" customWidth="1"/>
    <col min="2" max="2" width="41.7109375" style="74" customWidth="1"/>
    <col min="3" max="3" width="9" style="39" customWidth="1"/>
    <col min="4" max="4" width="11.42578125" style="39"/>
    <col min="5" max="5" width="10.7109375" style="39" customWidth="1"/>
    <col min="6" max="6" width="4.140625" style="39" customWidth="1"/>
    <col min="7" max="7" width="28.140625" style="39" customWidth="1"/>
    <col min="8" max="16384" width="11.42578125" style="39"/>
  </cols>
  <sheetData>
    <row r="1" spans="2:8" ht="18.75" customHeight="1" x14ac:dyDescent="0.2"/>
    <row r="2" spans="2:8" ht="18.75" customHeight="1" x14ac:dyDescent="0.2"/>
    <row r="3" spans="2:8" ht="18.75" customHeight="1" x14ac:dyDescent="0.2"/>
    <row r="4" spans="2:8" ht="18" customHeight="1" x14ac:dyDescent="0.2">
      <c r="B4" s="33" t="s">
        <v>1003</v>
      </c>
      <c r="C4" s="77"/>
      <c r="D4" s="77"/>
      <c r="E4" s="77"/>
      <c r="F4" s="77"/>
      <c r="G4" s="77"/>
      <c r="H4" s="247" t="s">
        <v>1000</v>
      </c>
    </row>
    <row r="5" spans="2:8" ht="18" customHeight="1" x14ac:dyDescent="0.2">
      <c r="B5" s="36" t="s">
        <v>1</v>
      </c>
      <c r="C5" s="77"/>
      <c r="D5" s="77"/>
      <c r="E5" s="77"/>
      <c r="F5" s="77"/>
      <c r="G5" s="77"/>
    </row>
    <row r="6" spans="2:8" ht="22.5" customHeight="1" x14ac:dyDescent="0.2">
      <c r="B6" s="35" t="s">
        <v>1011</v>
      </c>
      <c r="C6" s="77"/>
      <c r="D6" s="38" t="s">
        <v>8</v>
      </c>
      <c r="E6" s="79" t="str">
        <f>VLOOKUP('POBLACIÓN TOTAL'!J6,BASE!B3:B126,1,0)</f>
        <v>Acacoyagua</v>
      </c>
      <c r="F6" s="78"/>
      <c r="G6" s="78"/>
      <c r="H6" s="63"/>
    </row>
    <row r="7" spans="2:8" ht="18" customHeight="1" thickBot="1" x14ac:dyDescent="0.25">
      <c r="F7" s="75"/>
      <c r="G7" s="75"/>
    </row>
    <row r="8" spans="2:8" s="21" customFormat="1" ht="20.100000000000001" customHeight="1" x14ac:dyDescent="0.25">
      <c r="B8" s="293" t="s">
        <v>561</v>
      </c>
      <c r="C8" s="294"/>
      <c r="H8" s="76"/>
    </row>
    <row r="9" spans="2:8" s="21" customFormat="1" ht="20.100000000000001" customHeight="1" x14ac:dyDescent="0.25">
      <c r="B9" s="80" t="s">
        <v>565</v>
      </c>
      <c r="C9" s="84">
        <f>VLOOKUP(E6,BASE!B3:DD126,107,0)</f>
        <v>3170</v>
      </c>
      <c r="H9" s="76"/>
    </row>
    <row r="10" spans="2:8" s="21" customFormat="1" ht="20.100000000000001" customHeight="1" x14ac:dyDescent="0.25">
      <c r="B10" s="81" t="s">
        <v>571</v>
      </c>
      <c r="C10" s="85">
        <f>VLOOKUP(E6,BASE!B3:DE126,108,0)</f>
        <v>1898</v>
      </c>
      <c r="H10" s="76"/>
    </row>
    <row r="11" spans="2:8" s="21" customFormat="1" ht="20.100000000000001" customHeight="1" x14ac:dyDescent="0.25">
      <c r="B11" s="80" t="s">
        <v>562</v>
      </c>
      <c r="C11" s="84">
        <f>VLOOKUP(E6,BASE!B3:DF126,109,0)</f>
        <v>4231</v>
      </c>
      <c r="H11" s="76"/>
    </row>
    <row r="12" spans="2:8" s="21" customFormat="1" ht="20.100000000000001" customHeight="1" x14ac:dyDescent="0.25">
      <c r="B12" s="81" t="s">
        <v>563</v>
      </c>
      <c r="C12" s="85">
        <f>VLOOKUP(E6,BASE!B3:DG126,110,0)</f>
        <v>0</v>
      </c>
      <c r="H12" s="76"/>
    </row>
    <row r="13" spans="2:8" s="21" customFormat="1" ht="23.1" customHeight="1" x14ac:dyDescent="0.25">
      <c r="B13" s="80" t="s">
        <v>564</v>
      </c>
      <c r="C13" s="84">
        <f>VLOOKUP(E6,BASE!B3:DH126,111,0)</f>
        <v>7515</v>
      </c>
      <c r="H13" s="76"/>
    </row>
    <row r="14" spans="2:8" s="21" customFormat="1" ht="23.1" customHeight="1" x14ac:dyDescent="0.25">
      <c r="B14" s="81" t="s">
        <v>566</v>
      </c>
      <c r="C14" s="85">
        <f>VLOOKUP(E6,BASE!B3:DI126,112,0)</f>
        <v>0</v>
      </c>
      <c r="H14" s="76"/>
    </row>
    <row r="15" spans="2:8" s="21" customFormat="1" ht="23.1" customHeight="1" x14ac:dyDescent="0.25">
      <c r="B15" s="80" t="s">
        <v>567</v>
      </c>
      <c r="C15" s="84">
        <f>VLOOKUP(E6,BASE!B3:DJ126,113,0)</f>
        <v>0</v>
      </c>
      <c r="H15" s="76"/>
    </row>
    <row r="16" spans="2:8" s="21" customFormat="1" ht="23.1" customHeight="1" thickBot="1" x14ac:dyDescent="0.3">
      <c r="B16" s="82" t="s">
        <v>568</v>
      </c>
      <c r="C16" s="86">
        <f>VLOOKUP(E6,BASE!B3:DK126,114,0)</f>
        <v>0</v>
      </c>
      <c r="H16" s="76"/>
    </row>
    <row r="17" spans="2:8" s="21" customFormat="1" ht="20.100000000000001" customHeight="1" x14ac:dyDescent="0.25">
      <c r="H17" s="76"/>
    </row>
    <row r="18" spans="2:8" s="21" customFormat="1" ht="20.100000000000001" customHeight="1" thickBot="1" x14ac:dyDescent="0.3">
      <c r="H18" s="76"/>
    </row>
    <row r="19" spans="2:8" s="21" customFormat="1" ht="24.95" customHeight="1" x14ac:dyDescent="0.25">
      <c r="G19" s="293" t="s">
        <v>1012</v>
      </c>
      <c r="H19" s="294"/>
    </row>
    <row r="20" spans="2:8" ht="20.100000000000001" customHeight="1" x14ac:dyDescent="0.2">
      <c r="B20" s="39"/>
      <c r="G20" s="238" t="s">
        <v>569</v>
      </c>
      <c r="H20" s="239">
        <f>VLOOKUP(E6,BASE!B3:DL126,115,0)</f>
        <v>102</v>
      </c>
    </row>
    <row r="21" spans="2:8" ht="20.100000000000001" customHeight="1" x14ac:dyDescent="0.2">
      <c r="B21" s="39"/>
      <c r="G21" s="240" t="s">
        <v>570</v>
      </c>
      <c r="H21" s="241">
        <f>VLOOKUP(E6,BASE!B3:DM126,116,0)</f>
        <v>5</v>
      </c>
    </row>
    <row r="22" spans="2:8" ht="20.100000000000001" customHeight="1" x14ac:dyDescent="0.2">
      <c r="B22" s="39"/>
      <c r="G22" s="238" t="s">
        <v>572</v>
      </c>
      <c r="H22" s="239">
        <f>VLOOKUP(E6,BASE!B3:DN126,117,0)</f>
        <v>5</v>
      </c>
    </row>
    <row r="23" spans="2:8" ht="20.100000000000001" customHeight="1" x14ac:dyDescent="0.2">
      <c r="B23" s="39"/>
      <c r="G23" s="240" t="s">
        <v>573</v>
      </c>
      <c r="H23" s="241">
        <f>VLOOKUP(E6,BASE!B3:DO126,118,0)</f>
        <v>0</v>
      </c>
    </row>
    <row r="24" spans="2:8" ht="20.100000000000001" customHeight="1" x14ac:dyDescent="0.2">
      <c r="B24" s="39"/>
      <c r="G24" s="238" t="s">
        <v>574</v>
      </c>
      <c r="H24" s="239">
        <f>VLOOKUP(E6,BASE!B3:DP126,119,0)</f>
        <v>1</v>
      </c>
    </row>
    <row r="25" spans="2:8" ht="20.100000000000001" customHeight="1" x14ac:dyDescent="0.2">
      <c r="B25" s="39"/>
      <c r="G25" s="240" t="s">
        <v>575</v>
      </c>
      <c r="H25" s="241">
        <f>VLOOKUP(E6,BASE!B3:DQ126,120,0)</f>
        <v>0</v>
      </c>
    </row>
    <row r="26" spans="2:8" ht="20.100000000000001" customHeight="1" x14ac:dyDescent="0.2">
      <c r="B26" s="39"/>
      <c r="G26" s="238" t="s">
        <v>576</v>
      </c>
      <c r="H26" s="239">
        <f>VLOOKUP(E6,BASE!B3:DR126,121,0)</f>
        <v>0</v>
      </c>
    </row>
    <row r="27" spans="2:8" ht="20.100000000000001" customHeight="1" thickBot="1" x14ac:dyDescent="0.25">
      <c r="B27" s="39"/>
      <c r="G27" s="242" t="s">
        <v>577</v>
      </c>
      <c r="H27" s="243">
        <f>VLOOKUP(E6,BASE!B3:DS126,122,0)</f>
        <v>0</v>
      </c>
    </row>
  </sheetData>
  <sheetProtection password="EBC7" sheet="1" objects="1" scenarios="1"/>
  <mergeCells count="2">
    <mergeCell ref="B8:C8"/>
    <mergeCell ref="G19:H19"/>
  </mergeCells>
  <hyperlinks>
    <hyperlink ref="H4" location="PRESENTACIÓN!C7" display="INICIO"/>
  </hyperlinks>
  <pageMargins left="0.43307086614173229" right="0.23622047244094491" top="0.59055118110236227" bottom="0.39370078740157483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F22" sqref="F22"/>
    </sheetView>
  </sheetViews>
  <sheetFormatPr baseColWidth="10" defaultRowHeight="12" x14ac:dyDescent="0.2"/>
  <cols>
    <col min="1" max="1" width="5.7109375" style="39" customWidth="1"/>
    <col min="2" max="2" width="24.28515625" style="39" customWidth="1"/>
    <col min="3" max="4" width="11.42578125" style="39"/>
    <col min="5" max="5" width="6.5703125" style="39" customWidth="1"/>
    <col min="6" max="6" width="44.28515625" style="39" customWidth="1"/>
    <col min="7" max="10" width="11.42578125" style="39"/>
    <col min="11" max="11" width="29" style="69" customWidth="1"/>
    <col min="12" max="13" width="11.42578125" style="69"/>
    <col min="14" max="16384" width="11.42578125" style="39"/>
  </cols>
  <sheetData>
    <row r="1" spans="1:13" ht="18.75" customHeight="1" x14ac:dyDescent="0.2"/>
    <row r="2" spans="1:13" ht="18.75" customHeight="1" x14ac:dyDescent="0.2"/>
    <row r="3" spans="1:13" ht="18.75" customHeight="1" x14ac:dyDescent="0.2"/>
    <row r="4" spans="1:13" ht="18.75" customHeight="1" x14ac:dyDescent="0.2">
      <c r="B4" s="33" t="s">
        <v>1003</v>
      </c>
      <c r="H4" s="247" t="s">
        <v>1000</v>
      </c>
    </row>
    <row r="5" spans="1:13" ht="18.75" customHeight="1" x14ac:dyDescent="0.2">
      <c r="B5" s="36" t="s">
        <v>6</v>
      </c>
    </row>
    <row r="6" spans="1:13" s="87" customFormat="1" ht="23.25" customHeight="1" x14ac:dyDescent="0.2">
      <c r="B6" s="92" t="s">
        <v>1001</v>
      </c>
      <c r="D6" s="89"/>
      <c r="E6" s="38" t="s">
        <v>8</v>
      </c>
      <c r="F6" s="65" t="str">
        <f>VLOOKUP('POBLACIÓN TOTAL'!J6,BASE!B3:B126,1,0)</f>
        <v>Acacoyagua</v>
      </c>
      <c r="G6" s="88"/>
      <c r="H6" s="244"/>
      <c r="K6" s="69"/>
      <c r="L6" s="69"/>
      <c r="M6" s="69"/>
    </row>
    <row r="7" spans="1:13" ht="18.75" customHeight="1" thickBot="1" x14ac:dyDescent="0.25"/>
    <row r="8" spans="1:13" ht="29.25" customHeight="1" x14ac:dyDescent="0.2">
      <c r="A8" s="2"/>
      <c r="B8" s="286" t="s">
        <v>1013</v>
      </c>
      <c r="C8" s="292"/>
      <c r="D8" s="287"/>
      <c r="E8" s="90"/>
      <c r="F8" s="279" t="s">
        <v>1014</v>
      </c>
      <c r="G8" s="280"/>
      <c r="H8" s="281"/>
      <c r="K8" s="69" t="s">
        <v>650</v>
      </c>
      <c r="L8" s="69" t="s">
        <v>651</v>
      </c>
      <c r="M8" s="69" t="s">
        <v>360</v>
      </c>
    </row>
    <row r="9" spans="1:13" ht="27.75" customHeight="1" x14ac:dyDescent="0.2">
      <c r="B9" s="66" t="s">
        <v>610</v>
      </c>
      <c r="C9" s="45">
        <f>C10+C11</f>
        <v>779</v>
      </c>
      <c r="D9" s="46" t="s">
        <v>359</v>
      </c>
      <c r="E9" s="91"/>
      <c r="F9" s="97" t="s">
        <v>611</v>
      </c>
      <c r="G9" s="98">
        <f>G10+G11</f>
        <v>274</v>
      </c>
      <c r="H9" s="99">
        <f>G9/C9</f>
        <v>0.35173299101412064</v>
      </c>
      <c r="K9" s="69" t="s">
        <v>645</v>
      </c>
      <c r="L9" s="226">
        <f>VLOOKUP(F6,BASE!B3:EH126,137,0)</f>
        <v>164</v>
      </c>
      <c r="M9" s="227">
        <f>L9/$L$16</f>
        <v>0.33198380566801622</v>
      </c>
    </row>
    <row r="10" spans="1:13" ht="19.5" customHeight="1" x14ac:dyDescent="0.2">
      <c r="B10" s="148" t="s">
        <v>11</v>
      </c>
      <c r="C10" s="48">
        <f>G10+G13+G16+G19+G22+G25+G28</f>
        <v>406</v>
      </c>
      <c r="D10" s="49">
        <f>C10/C9</f>
        <v>0.52118100128369704</v>
      </c>
      <c r="E10" s="91"/>
      <c r="F10" s="103" t="s">
        <v>11</v>
      </c>
      <c r="G10" s="48">
        <f>VLOOKUP(F6,BASE!B3:DT126,123,0)</f>
        <v>131</v>
      </c>
      <c r="H10" s="49">
        <f>G10/G9</f>
        <v>0.47810218978102192</v>
      </c>
      <c r="K10" s="69" t="s">
        <v>652</v>
      </c>
      <c r="L10" s="226">
        <f>VLOOKUP(F6,BASE!B3:EI126,138,0)</f>
        <v>111</v>
      </c>
      <c r="M10" s="227">
        <f t="shared" ref="M10:M15" si="0">L10/$L$16</f>
        <v>0.22469635627530365</v>
      </c>
    </row>
    <row r="11" spans="1:13" ht="19.5" customHeight="1" thickBot="1" x14ac:dyDescent="0.25">
      <c r="B11" s="96" t="s">
        <v>12</v>
      </c>
      <c r="C11" s="51">
        <f>G11+G14+G17+G20+G23+G26+G29</f>
        <v>373</v>
      </c>
      <c r="D11" s="52">
        <f>C11/C9</f>
        <v>0.47881899871630296</v>
      </c>
      <c r="E11" s="91"/>
      <c r="F11" s="103" t="s">
        <v>12</v>
      </c>
      <c r="G11" s="48">
        <f>VLOOKUP(F6,BASE!B3:DU126,124,0)</f>
        <v>143</v>
      </c>
      <c r="H11" s="49">
        <f>G11/G9</f>
        <v>0.52189781021897808</v>
      </c>
      <c r="K11" s="69" t="s">
        <v>653</v>
      </c>
      <c r="L11" s="226">
        <f>VLOOKUP(F6,BASE!B3:EJ126,139,0)</f>
        <v>59</v>
      </c>
      <c r="M11" s="227">
        <f t="shared" si="0"/>
        <v>0.1194331983805668</v>
      </c>
    </row>
    <row r="12" spans="1:13" ht="19.5" customHeight="1" x14ac:dyDescent="0.2">
      <c r="B12" s="91"/>
      <c r="C12" s="91"/>
      <c r="D12" s="91"/>
      <c r="E12" s="91"/>
      <c r="F12" s="100" t="s">
        <v>612</v>
      </c>
      <c r="G12" s="101">
        <f>G13+G14</f>
        <v>163</v>
      </c>
      <c r="H12" s="102">
        <f>G12/C9</f>
        <v>0.20924261874197689</v>
      </c>
      <c r="K12" s="69" t="s">
        <v>646</v>
      </c>
      <c r="L12" s="226">
        <f>VLOOKUP(F6,BASE!B3:EK126,140,0)</f>
        <v>75</v>
      </c>
      <c r="M12" s="227">
        <f t="shared" si="0"/>
        <v>0.15182186234817813</v>
      </c>
    </row>
    <row r="13" spans="1:13" ht="19.5" customHeight="1" x14ac:dyDescent="0.2">
      <c r="B13" s="91"/>
      <c r="C13" s="91"/>
      <c r="D13" s="91"/>
      <c r="E13" s="91"/>
      <c r="F13" s="104" t="s">
        <v>11</v>
      </c>
      <c r="G13" s="45">
        <f>VLOOKUP(F6,BASE!B3:DV126,125,0)</f>
        <v>94</v>
      </c>
      <c r="H13" s="93">
        <f>G13/G12</f>
        <v>0.57668711656441718</v>
      </c>
      <c r="K13" s="69" t="s">
        <v>647</v>
      </c>
      <c r="L13" s="226">
        <f>VLOOKUP(F6,BASE!B3:EL126,141,0)</f>
        <v>43</v>
      </c>
      <c r="M13" s="227">
        <f t="shared" si="0"/>
        <v>8.7044534412955468E-2</v>
      </c>
    </row>
    <row r="14" spans="1:13" ht="19.5" customHeight="1" x14ac:dyDescent="0.2">
      <c r="B14" s="91"/>
      <c r="C14" s="91"/>
      <c r="D14" s="91"/>
      <c r="E14" s="91"/>
      <c r="F14" s="104" t="s">
        <v>12</v>
      </c>
      <c r="G14" s="45">
        <f>VLOOKUP(F6,BASE!B3:DW126,126,0)</f>
        <v>69</v>
      </c>
      <c r="H14" s="93">
        <f>G14/G12</f>
        <v>0.42331288343558282</v>
      </c>
      <c r="K14" s="69" t="s">
        <v>648</v>
      </c>
      <c r="L14" s="226">
        <f>VLOOKUP(F6,BASE!B3:EM126,142,0)</f>
        <v>7</v>
      </c>
      <c r="M14" s="227">
        <f t="shared" si="0"/>
        <v>1.417004048582996E-2</v>
      </c>
    </row>
    <row r="15" spans="1:13" ht="19.5" customHeight="1" x14ac:dyDescent="0.2">
      <c r="B15" s="91"/>
      <c r="C15" s="91"/>
      <c r="D15" s="91"/>
      <c r="E15" s="91"/>
      <c r="F15" s="97" t="s">
        <v>613</v>
      </c>
      <c r="G15" s="98">
        <f>G16+G17</f>
        <v>80</v>
      </c>
      <c r="H15" s="99">
        <f>G15/C9</f>
        <v>0.10269576379974327</v>
      </c>
      <c r="K15" s="69" t="s">
        <v>649</v>
      </c>
      <c r="L15" s="226">
        <f>VLOOKUP(F6,BASE!B3:EN126,143,0)</f>
        <v>35</v>
      </c>
      <c r="M15" s="227">
        <f t="shared" si="0"/>
        <v>7.08502024291498E-2</v>
      </c>
    </row>
    <row r="16" spans="1:13" ht="19.5" customHeight="1" x14ac:dyDescent="0.2">
      <c r="B16" s="91"/>
      <c r="C16" s="91"/>
      <c r="D16" s="91"/>
      <c r="E16" s="91"/>
      <c r="F16" s="103" t="s">
        <v>11</v>
      </c>
      <c r="G16" s="48">
        <f>VLOOKUP(F6,BASE!B3:DX126,127,0)</f>
        <v>52</v>
      </c>
      <c r="H16" s="49">
        <f>G16/G15</f>
        <v>0.65</v>
      </c>
      <c r="K16" s="69" t="s">
        <v>10</v>
      </c>
      <c r="L16" s="226">
        <f>SUM(L9:L15)</f>
        <v>494</v>
      </c>
    </row>
    <row r="17" spans="2:8" ht="19.5" customHeight="1" x14ac:dyDescent="0.2">
      <c r="B17" s="91"/>
      <c r="C17" s="91"/>
      <c r="D17" s="91"/>
      <c r="E17" s="91"/>
      <c r="F17" s="103" t="s">
        <v>12</v>
      </c>
      <c r="G17" s="48">
        <f>VLOOKUP(F6,BASE!B3:DY126,128,0)</f>
        <v>28</v>
      </c>
      <c r="H17" s="49">
        <f>G17/G15</f>
        <v>0.35</v>
      </c>
    </row>
    <row r="18" spans="2:8" ht="19.5" customHeight="1" x14ac:dyDescent="0.2">
      <c r="B18" s="91"/>
      <c r="C18" s="91"/>
      <c r="D18" s="91"/>
      <c r="E18" s="91"/>
      <c r="F18" s="100" t="s">
        <v>614</v>
      </c>
      <c r="G18" s="101">
        <f>G19+G20</f>
        <v>120</v>
      </c>
      <c r="H18" s="102">
        <f>G18/C9</f>
        <v>0.1540436456996149</v>
      </c>
    </row>
    <row r="19" spans="2:8" ht="19.5" customHeight="1" x14ac:dyDescent="0.2">
      <c r="B19" s="91"/>
      <c r="C19" s="91"/>
      <c r="D19" s="91"/>
      <c r="E19" s="91"/>
      <c r="F19" s="104" t="s">
        <v>11</v>
      </c>
      <c r="G19" s="45">
        <f>VLOOKUP(F6,BASE!B3:DZ126,129,0)</f>
        <v>55</v>
      </c>
      <c r="H19" s="93">
        <f>G19/G18</f>
        <v>0.45833333333333331</v>
      </c>
    </row>
    <row r="20" spans="2:8" ht="19.5" customHeight="1" x14ac:dyDescent="0.2">
      <c r="B20" s="91"/>
      <c r="C20" s="91"/>
      <c r="D20" s="91"/>
      <c r="E20" s="91"/>
      <c r="F20" s="104" t="s">
        <v>12</v>
      </c>
      <c r="G20" s="45">
        <f>VLOOKUP(F6,BASE!B3:EA126,130,0)</f>
        <v>65</v>
      </c>
      <c r="H20" s="93">
        <f>G20/G18</f>
        <v>0.54166666666666663</v>
      </c>
    </row>
    <row r="21" spans="2:8" ht="19.5" customHeight="1" x14ac:dyDescent="0.2">
      <c r="B21" s="91"/>
      <c r="C21" s="91"/>
      <c r="D21" s="91"/>
      <c r="E21" s="91"/>
      <c r="F21" s="97" t="s">
        <v>1039</v>
      </c>
      <c r="G21" s="98">
        <f>G22+G23</f>
        <v>65</v>
      </c>
      <c r="H21" s="99">
        <f>G21/C9</f>
        <v>8.3440308087291401E-2</v>
      </c>
    </row>
    <row r="22" spans="2:8" ht="19.5" customHeight="1" x14ac:dyDescent="0.2">
      <c r="B22" s="91"/>
      <c r="C22" s="91"/>
      <c r="D22" s="91"/>
      <c r="E22" s="91"/>
      <c r="F22" s="103" t="s">
        <v>11</v>
      </c>
      <c r="G22" s="48">
        <f>VLOOKUP(F6,BASE!B3:EB126,131,0)</f>
        <v>33</v>
      </c>
      <c r="H22" s="49">
        <f>G22/G21</f>
        <v>0.50769230769230766</v>
      </c>
    </row>
    <row r="23" spans="2:8" ht="19.5" customHeight="1" x14ac:dyDescent="0.2">
      <c r="B23" s="91"/>
      <c r="C23" s="91"/>
      <c r="D23" s="91"/>
      <c r="E23" s="91"/>
      <c r="F23" s="103" t="s">
        <v>12</v>
      </c>
      <c r="G23" s="48">
        <f>VLOOKUP(F6,BASE!B3:EC126,132,0)</f>
        <v>32</v>
      </c>
      <c r="H23" s="49">
        <f>G23/G21</f>
        <v>0.49230769230769234</v>
      </c>
    </row>
    <row r="24" spans="2:8" ht="19.5" customHeight="1" x14ac:dyDescent="0.2">
      <c r="B24" s="91"/>
      <c r="C24" s="91"/>
      <c r="D24" s="91"/>
      <c r="E24" s="91"/>
      <c r="F24" s="100" t="s">
        <v>615</v>
      </c>
      <c r="G24" s="101">
        <f>G25+G26</f>
        <v>14</v>
      </c>
      <c r="H24" s="102">
        <f>G24/C9</f>
        <v>1.7971758664955071E-2</v>
      </c>
    </row>
    <row r="25" spans="2:8" ht="19.5" customHeight="1" x14ac:dyDescent="0.2">
      <c r="B25" s="91"/>
      <c r="C25" s="91"/>
      <c r="D25" s="91"/>
      <c r="E25" s="91"/>
      <c r="F25" s="104" t="s">
        <v>11</v>
      </c>
      <c r="G25" s="45">
        <f>VLOOKUP(F6,BASE!B3:ED126,133,0)</f>
        <v>5</v>
      </c>
      <c r="H25" s="93">
        <f>G25/G24</f>
        <v>0.35714285714285715</v>
      </c>
    </row>
    <row r="26" spans="2:8" ht="19.5" customHeight="1" x14ac:dyDescent="0.2">
      <c r="B26" s="91"/>
      <c r="C26" s="91"/>
      <c r="D26" s="91"/>
      <c r="E26" s="91"/>
      <c r="F26" s="104" t="s">
        <v>12</v>
      </c>
      <c r="G26" s="45">
        <f>VLOOKUP(F6,BASE!B3:EE126,134,0)</f>
        <v>9</v>
      </c>
      <c r="H26" s="93">
        <f>G26/G24</f>
        <v>0.6428571428571429</v>
      </c>
    </row>
    <row r="27" spans="2:8" ht="19.5" customHeight="1" x14ac:dyDescent="0.2">
      <c r="B27" s="91"/>
      <c r="C27" s="91"/>
      <c r="D27" s="91"/>
      <c r="E27" s="91"/>
      <c r="F27" s="97" t="s">
        <v>616</v>
      </c>
      <c r="G27" s="98">
        <f>G28+G29</f>
        <v>63</v>
      </c>
      <c r="H27" s="99">
        <f>G27/C9</f>
        <v>8.0872913992297818E-2</v>
      </c>
    </row>
    <row r="28" spans="2:8" ht="19.5" customHeight="1" x14ac:dyDescent="0.2">
      <c r="B28" s="91"/>
      <c r="C28" s="91"/>
      <c r="D28" s="91"/>
      <c r="E28" s="91"/>
      <c r="F28" s="103" t="s">
        <v>11</v>
      </c>
      <c r="G28" s="48">
        <f>VLOOKUP(F6,BASE!B3:EF126,135,0)</f>
        <v>36</v>
      </c>
      <c r="H28" s="49">
        <f>G28/G27</f>
        <v>0.5714285714285714</v>
      </c>
    </row>
    <row r="29" spans="2:8" ht="19.5" customHeight="1" thickBot="1" x14ac:dyDescent="0.25">
      <c r="B29" s="91"/>
      <c r="C29" s="91"/>
      <c r="D29" s="91"/>
      <c r="E29" s="91"/>
      <c r="F29" s="105" t="s">
        <v>12</v>
      </c>
      <c r="G29" s="94">
        <f>VLOOKUP(F6,BASE!B3:EG126,136,0)</f>
        <v>27</v>
      </c>
      <c r="H29" s="95">
        <f>G29/G27</f>
        <v>0.42857142857142855</v>
      </c>
    </row>
    <row r="30" spans="2:8" ht="25.5" customHeight="1" x14ac:dyDescent="0.2"/>
    <row r="31" spans="2:8" ht="25.5" customHeight="1" x14ac:dyDescent="0.2"/>
    <row r="32" spans="2:8" ht="25.5" customHeight="1" x14ac:dyDescent="0.2"/>
  </sheetData>
  <sheetProtection password="EBC7" sheet="1" objects="1" scenarios="1"/>
  <mergeCells count="2">
    <mergeCell ref="B8:D8"/>
    <mergeCell ref="F8:H8"/>
  </mergeCells>
  <hyperlinks>
    <hyperlink ref="H4" location="PRESENTACIÓN!C7" display="INICIO"/>
  </hyperlinks>
  <pageMargins left="0.43307086614173229" right="0.23622047244094491" top="0" bottom="0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zoomScaleNormal="100" workbookViewId="0">
      <selection activeCell="B6" sqref="B6:E6"/>
    </sheetView>
  </sheetViews>
  <sheetFormatPr baseColWidth="10" defaultRowHeight="12" x14ac:dyDescent="0.2"/>
  <cols>
    <col min="1" max="1" width="6.42578125" style="77" customWidth="1"/>
    <col min="2" max="2" width="10.85546875" style="77" customWidth="1"/>
    <col min="3" max="4" width="11.42578125" style="77"/>
    <col min="5" max="5" width="6.5703125" style="77" customWidth="1"/>
    <col min="6" max="6" width="44.42578125" style="140" customWidth="1"/>
    <col min="7" max="7" width="10.140625" style="140" customWidth="1"/>
    <col min="8" max="8" width="12.28515625" style="140" customWidth="1"/>
    <col min="9" max="9" width="9.7109375" style="140" customWidth="1"/>
    <col min="10" max="10" width="5.28515625" style="77" customWidth="1"/>
    <col min="11" max="16384" width="11.42578125" style="77"/>
  </cols>
  <sheetData>
    <row r="1" spans="2:11" ht="19.5" customHeight="1" x14ac:dyDescent="0.2"/>
    <row r="2" spans="2:11" ht="19.5" customHeight="1" x14ac:dyDescent="0.2"/>
    <row r="3" spans="2:11" ht="19.5" customHeight="1" x14ac:dyDescent="0.2"/>
    <row r="4" spans="2:11" ht="19.5" customHeight="1" x14ac:dyDescent="0.2">
      <c r="B4" s="33" t="s">
        <v>1003</v>
      </c>
      <c r="J4" s="247" t="s">
        <v>1000</v>
      </c>
    </row>
    <row r="5" spans="2:11" ht="19.5" customHeight="1" x14ac:dyDescent="0.2">
      <c r="B5" s="193" t="s">
        <v>7</v>
      </c>
      <c r="K5" s="191"/>
    </row>
    <row r="6" spans="2:11" ht="24" customHeight="1" x14ac:dyDescent="0.2">
      <c r="B6" s="295" t="s">
        <v>1001</v>
      </c>
      <c r="C6" s="295"/>
      <c r="D6" s="295"/>
      <c r="E6" s="295"/>
      <c r="F6" s="38" t="s">
        <v>8</v>
      </c>
      <c r="G6" s="79" t="str">
        <f>VLOOKUP('POBLACIÓN TOTAL'!J6,BASE!B3:B126,1,0)</f>
        <v>Acacoyagua</v>
      </c>
      <c r="H6" s="78"/>
      <c r="I6" s="78"/>
      <c r="J6" s="181"/>
      <c r="K6" s="245"/>
    </row>
    <row r="7" spans="2:11" ht="19.5" customHeight="1" thickBot="1" x14ac:dyDescent="0.25">
      <c r="K7" s="192"/>
    </row>
    <row r="8" spans="2:11" ht="28.5" customHeight="1" x14ac:dyDescent="0.2">
      <c r="B8" s="286" t="s">
        <v>1015</v>
      </c>
      <c r="C8" s="292"/>
      <c r="D8" s="287"/>
      <c r="E8" s="194"/>
      <c r="F8" s="286" t="s">
        <v>1016</v>
      </c>
      <c r="G8" s="292"/>
      <c r="H8" s="292"/>
      <c r="I8" s="287"/>
    </row>
    <row r="9" spans="2:11" ht="25.5" customHeight="1" x14ac:dyDescent="0.2">
      <c r="B9" s="204" t="s">
        <v>10</v>
      </c>
      <c r="C9" s="101">
        <f>C10+C11</f>
        <v>3046</v>
      </c>
      <c r="D9" s="197" t="s">
        <v>359</v>
      </c>
      <c r="E9" s="194"/>
      <c r="F9" s="195"/>
      <c r="G9" s="196" t="s">
        <v>10</v>
      </c>
      <c r="H9" s="196" t="s">
        <v>11</v>
      </c>
      <c r="I9" s="197" t="s">
        <v>12</v>
      </c>
    </row>
    <row r="10" spans="2:11" ht="25.5" customHeight="1" x14ac:dyDescent="0.2">
      <c r="B10" s="148" t="s">
        <v>11</v>
      </c>
      <c r="C10" s="48">
        <f>VLOOKUP(G6,BASE!B3:LB126,313,0)</f>
        <v>1549</v>
      </c>
      <c r="D10" s="49">
        <f>C10/C9</f>
        <v>0.50853578463558768</v>
      </c>
      <c r="E10" s="194"/>
      <c r="F10" s="198" t="s">
        <v>955</v>
      </c>
      <c r="G10" s="230">
        <f>H10+I10</f>
        <v>5396</v>
      </c>
      <c r="H10" s="230">
        <f>VLOOKUP(G6,BASE!B3:KR126,303,0)</f>
        <v>2698</v>
      </c>
      <c r="I10" s="231">
        <f>VLOOKUP(G6,BASE!B3:KS126,304,0)</f>
        <v>2698</v>
      </c>
    </row>
    <row r="11" spans="2:11" ht="25.5" customHeight="1" thickBot="1" x14ac:dyDescent="0.25">
      <c r="B11" s="96" t="s">
        <v>12</v>
      </c>
      <c r="C11" s="51">
        <f>VLOOKUP(G6,BASE!B3:LC126,314,0)</f>
        <v>1497</v>
      </c>
      <c r="D11" s="52">
        <f>C11/C9</f>
        <v>0.49146421536441237</v>
      </c>
      <c r="E11" s="194"/>
      <c r="F11" s="199" t="s">
        <v>948</v>
      </c>
      <c r="G11" s="45">
        <f t="shared" ref="G11:G14" si="0">H11+I11</f>
        <v>974</v>
      </c>
      <c r="H11" s="45">
        <f>VLOOKUP(G6,BASE!B3:KT126,305,0)</f>
        <v>480</v>
      </c>
      <c r="I11" s="56">
        <f>VLOOKUP(G6,BASE!B3:KX126,309,0)</f>
        <v>494</v>
      </c>
    </row>
    <row r="12" spans="2:11" ht="25.5" customHeight="1" thickBot="1" x14ac:dyDescent="0.25">
      <c r="B12" s="200"/>
      <c r="C12" s="200"/>
      <c r="D12" s="200"/>
      <c r="E12" s="194"/>
      <c r="F12" s="198" t="s">
        <v>967</v>
      </c>
      <c r="G12" s="48">
        <f t="shared" si="0"/>
        <v>409</v>
      </c>
      <c r="H12" s="48">
        <f>VLOOKUP(G6,BASE!B3:KU126,306,0)</f>
        <v>216</v>
      </c>
      <c r="I12" s="57">
        <f>VLOOKUP(G6,BASE!B3:KY126,310,0)</f>
        <v>193</v>
      </c>
    </row>
    <row r="13" spans="2:11" ht="25.5" customHeight="1" x14ac:dyDescent="0.2">
      <c r="B13" s="286" t="s">
        <v>1017</v>
      </c>
      <c r="C13" s="292"/>
      <c r="D13" s="287"/>
      <c r="E13" s="194"/>
      <c r="F13" s="199" t="s">
        <v>966</v>
      </c>
      <c r="G13" s="45">
        <f t="shared" si="0"/>
        <v>1039</v>
      </c>
      <c r="H13" s="45">
        <f>VLOOKUP(G6,BASE!B3:KV126,307,0)</f>
        <v>524</v>
      </c>
      <c r="I13" s="56">
        <f>VLOOKUP(G6,BASE!B3:KZ126,311,0)</f>
        <v>515</v>
      </c>
    </row>
    <row r="14" spans="2:11" ht="25.5" customHeight="1" thickBot="1" x14ac:dyDescent="0.25">
      <c r="B14" s="204" t="s">
        <v>10</v>
      </c>
      <c r="C14" s="101">
        <f>C15+C16</f>
        <v>1506</v>
      </c>
      <c r="D14" s="102">
        <f>C14/VLOOKUP(G6,BASE!B3:LF126,317,0)</f>
        <v>0.13903249630723782</v>
      </c>
      <c r="E14" s="194"/>
      <c r="F14" s="201" t="s">
        <v>952</v>
      </c>
      <c r="G14" s="94">
        <f t="shared" si="0"/>
        <v>1</v>
      </c>
      <c r="H14" s="94">
        <f>VLOOKUP(G6,BASE!B3:KW126,308,0)</f>
        <v>0</v>
      </c>
      <c r="I14" s="60">
        <f>VLOOKUP(G6,BASE!B3:LA126,312,0)</f>
        <v>1</v>
      </c>
    </row>
    <row r="15" spans="2:11" ht="25.5" customHeight="1" thickBot="1" x14ac:dyDescent="0.25">
      <c r="B15" s="148" t="s">
        <v>11</v>
      </c>
      <c r="C15" s="48">
        <f>VLOOKUP(G6,BASE!B3:LD126,315,0)</f>
        <v>586</v>
      </c>
      <c r="D15" s="49">
        <f>C15/C14</f>
        <v>0.38911022576361221</v>
      </c>
      <c r="E15" s="194"/>
      <c r="F15" s="145"/>
      <c r="G15" s="145"/>
      <c r="H15" s="145"/>
      <c r="I15" s="145"/>
    </row>
    <row r="16" spans="2:11" ht="25.5" customHeight="1" thickBot="1" x14ac:dyDescent="0.25">
      <c r="B16" s="96" t="s">
        <v>12</v>
      </c>
      <c r="C16" s="51">
        <f>VLOOKUP(G6,BASE!B3:LE126,316,0)</f>
        <v>920</v>
      </c>
      <c r="D16" s="52">
        <f>C16/C14</f>
        <v>0.61088977423638779</v>
      </c>
      <c r="E16" s="194"/>
      <c r="F16" s="279" t="s">
        <v>1018</v>
      </c>
      <c r="G16" s="280"/>
      <c r="H16" s="280"/>
      <c r="I16" s="281"/>
    </row>
    <row r="17" spans="2:9" ht="25.5" customHeight="1" x14ac:dyDescent="0.2">
      <c r="B17" s="200"/>
      <c r="C17" s="200"/>
      <c r="D17" s="200"/>
      <c r="E17" s="194"/>
      <c r="F17" s="195"/>
      <c r="G17" s="196" t="s">
        <v>10</v>
      </c>
      <c r="H17" s="196" t="s">
        <v>11</v>
      </c>
      <c r="I17" s="197" t="s">
        <v>12</v>
      </c>
    </row>
    <row r="18" spans="2:9" ht="25.5" customHeight="1" x14ac:dyDescent="0.2">
      <c r="B18" s="194"/>
      <c r="C18" s="194"/>
      <c r="D18" s="194"/>
      <c r="E18" s="194"/>
      <c r="F18" s="198" t="s">
        <v>948</v>
      </c>
      <c r="G18" s="48">
        <f t="shared" ref="G18:G24" si="1">H18+I18</f>
        <v>27</v>
      </c>
      <c r="H18" s="48">
        <f>VLOOKUP(G6,BASE!B3:LG126,318,0)</f>
        <v>19</v>
      </c>
      <c r="I18" s="57">
        <f>VLOOKUP(G6,BASE!B3:LN126,325,0)</f>
        <v>8</v>
      </c>
    </row>
    <row r="19" spans="2:9" ht="25.5" customHeight="1" x14ac:dyDescent="0.2">
      <c r="B19" s="194"/>
      <c r="C19" s="194"/>
      <c r="D19" s="194"/>
      <c r="E19" s="194"/>
      <c r="F19" s="199" t="s">
        <v>949</v>
      </c>
      <c r="G19" s="45">
        <f t="shared" si="1"/>
        <v>4907</v>
      </c>
      <c r="H19" s="45">
        <f>VLOOKUP(G6,BASE!B3:LH126,319,0)</f>
        <v>2487</v>
      </c>
      <c r="I19" s="56">
        <f>VLOOKUP(G6,BASE!B3:LO126,326,0)</f>
        <v>2420</v>
      </c>
    </row>
    <row r="20" spans="2:9" ht="25.5" customHeight="1" thickBot="1" x14ac:dyDescent="0.25">
      <c r="B20" s="194"/>
      <c r="C20" s="194"/>
      <c r="D20" s="194"/>
      <c r="E20" s="194"/>
      <c r="F20" s="198" t="s">
        <v>950</v>
      </c>
      <c r="G20" s="48">
        <f t="shared" si="1"/>
        <v>581</v>
      </c>
      <c r="H20" s="48">
        <f>VLOOKUP(G6,BASE!B3:LI126,320,0)</f>
        <v>293</v>
      </c>
      <c r="I20" s="57">
        <f>VLOOKUP(G6,BASE!B3:LP126,327,0)</f>
        <v>288</v>
      </c>
    </row>
    <row r="21" spans="2:9" ht="25.5" customHeight="1" x14ac:dyDescent="0.2">
      <c r="B21" s="286" t="s">
        <v>1019</v>
      </c>
      <c r="C21" s="292"/>
      <c r="D21" s="287"/>
      <c r="E21" s="194"/>
      <c r="F21" s="199" t="s">
        <v>951</v>
      </c>
      <c r="G21" s="45">
        <f t="shared" si="1"/>
        <v>1858</v>
      </c>
      <c r="H21" s="45">
        <f>VLOOKUP(G6,BASE!B3:LJ126,321,0)</f>
        <v>923</v>
      </c>
      <c r="I21" s="56">
        <f>VLOOKUP(G6,BASE!B3:LQ126,328,0)</f>
        <v>935</v>
      </c>
    </row>
    <row r="22" spans="2:9" ht="25.5" customHeight="1" x14ac:dyDescent="0.2">
      <c r="B22" s="204" t="s">
        <v>10</v>
      </c>
      <c r="C22" s="296">
        <f>VLOOKUP(G6,BASE!B3:LU126,332,0)</f>
        <v>5.9743637205000004</v>
      </c>
      <c r="D22" s="297"/>
      <c r="E22" s="194"/>
      <c r="F22" s="198" t="s">
        <v>952</v>
      </c>
      <c r="G22" s="48">
        <f t="shared" si="1"/>
        <v>5</v>
      </c>
      <c r="H22" s="48">
        <f>VLOOKUP(G6,BASE!B3:LK126,322,0)</f>
        <v>1</v>
      </c>
      <c r="I22" s="57">
        <f>VLOOKUP(G6,BASE!B3:LR126,329,0)</f>
        <v>4</v>
      </c>
    </row>
    <row r="23" spans="2:9" ht="24.75" customHeight="1" x14ac:dyDescent="0.2">
      <c r="B23" s="148" t="s">
        <v>11</v>
      </c>
      <c r="C23" s="298">
        <f>VLOOKUP(G6,BASE!B3:LV126,333,0)</f>
        <v>6.1549059765000003</v>
      </c>
      <c r="D23" s="299"/>
      <c r="E23" s="194"/>
      <c r="F23" s="202" t="s">
        <v>953</v>
      </c>
      <c r="G23" s="45">
        <f t="shared" si="1"/>
        <v>1542</v>
      </c>
      <c r="H23" s="45">
        <f>VLOOKUP(G6,BASE!B3:LL126,323,0)</f>
        <v>798</v>
      </c>
      <c r="I23" s="56">
        <f>VLOOKUP(G6,BASE!B3:LS126,330,0)</f>
        <v>744</v>
      </c>
    </row>
    <row r="24" spans="2:9" ht="28.5" customHeight="1" thickBot="1" x14ac:dyDescent="0.25">
      <c r="B24" s="96" t="s">
        <v>12</v>
      </c>
      <c r="C24" s="300">
        <f>VLOOKUP(G6,BASE!B3:LW126,334,0)</f>
        <v>5.7959146116999998</v>
      </c>
      <c r="D24" s="301"/>
      <c r="E24" s="194"/>
      <c r="F24" s="203" t="s">
        <v>954</v>
      </c>
      <c r="G24" s="94">
        <f t="shared" si="1"/>
        <v>359</v>
      </c>
      <c r="H24" s="94">
        <f>VLOOKUP(G6,BASE!B3:LM126,324,0)</f>
        <v>197</v>
      </c>
      <c r="I24" s="60">
        <f>VLOOKUP(G6,BASE!B3:LT126,331,0)</f>
        <v>162</v>
      </c>
    </row>
    <row r="25" spans="2:9" ht="18" customHeight="1" x14ac:dyDescent="0.2"/>
    <row r="26" spans="2:9" ht="28.5" customHeight="1" x14ac:dyDescent="0.2">
      <c r="B26" s="192"/>
      <c r="C26" s="140"/>
      <c r="D26" s="140"/>
    </row>
    <row r="27" spans="2:9" ht="28.5" customHeight="1" x14ac:dyDescent="0.2">
      <c r="B27" s="164"/>
      <c r="C27" s="164"/>
      <c r="D27" s="164"/>
    </row>
    <row r="28" spans="2:9" ht="28.5" customHeight="1" x14ac:dyDescent="0.2">
      <c r="B28" s="164"/>
      <c r="C28" s="164"/>
      <c r="D28" s="164"/>
    </row>
    <row r="29" spans="2:9" ht="28.5" customHeight="1" x14ac:dyDescent="0.2">
      <c r="B29" s="140"/>
      <c r="C29" s="140"/>
      <c r="D29" s="140"/>
    </row>
    <row r="30" spans="2:9" x14ac:dyDescent="0.2">
      <c r="B30" s="140"/>
      <c r="C30" s="140"/>
      <c r="D30" s="140"/>
    </row>
    <row r="31" spans="2:9" x14ac:dyDescent="0.2">
      <c r="B31" s="140"/>
      <c r="C31" s="140"/>
      <c r="D31" s="140"/>
    </row>
  </sheetData>
  <sheetProtection password="EBC7" sheet="1" objects="1" scenarios="1"/>
  <mergeCells count="9">
    <mergeCell ref="B6:E6"/>
    <mergeCell ref="C22:D22"/>
    <mergeCell ref="C23:D23"/>
    <mergeCell ref="C24:D24"/>
    <mergeCell ref="F16:I16"/>
    <mergeCell ref="B21:D21"/>
    <mergeCell ref="B8:D8"/>
    <mergeCell ref="B13:D13"/>
    <mergeCell ref="F8:I8"/>
  </mergeCells>
  <hyperlinks>
    <hyperlink ref="J4" location="PRESENTACIÓN!C7" display="INICIO"/>
  </hyperlinks>
  <pageMargins left="0.23622047244094491" right="3.937007874015748E-2" top="0.19685039370078741" bottom="0.19685039370078741" header="0" footer="0"/>
  <pageSetup orientation="landscape" r:id="rId1"/>
  <ignoredErrors>
    <ignoredError sqref="G11:G14 G18:G24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"/>
  <sheetViews>
    <sheetView zoomScaleNormal="100" workbookViewId="0">
      <selection activeCell="B9" sqref="B9"/>
    </sheetView>
  </sheetViews>
  <sheetFormatPr baseColWidth="10" defaultRowHeight="12" x14ac:dyDescent="0.2"/>
  <cols>
    <col min="1" max="1" width="3.85546875" style="77" customWidth="1"/>
    <col min="2" max="2" width="22" style="77" customWidth="1"/>
    <col min="3" max="3" width="10.7109375" style="77" customWidth="1"/>
    <col min="4" max="4" width="9.7109375" style="77" customWidth="1"/>
    <col min="5" max="5" width="4.28515625" style="77" customWidth="1"/>
    <col min="6" max="8" width="11.42578125" style="77"/>
    <col min="9" max="9" width="3.5703125" style="77" customWidth="1"/>
    <col min="10" max="10" width="19.85546875" style="115" customWidth="1"/>
    <col min="11" max="12" width="10.140625" style="115" customWidth="1"/>
    <col min="13" max="13" width="3.7109375" style="115" customWidth="1"/>
    <col min="14" max="14" width="11.42578125" style="115"/>
    <col min="15" max="16384" width="11.42578125" style="77"/>
  </cols>
  <sheetData>
    <row r="1" spans="2:12" ht="18.75" customHeight="1" x14ac:dyDescent="0.2"/>
    <row r="2" spans="2:12" ht="18.75" customHeight="1" x14ac:dyDescent="0.2"/>
    <row r="3" spans="2:12" ht="18.75" customHeight="1" x14ac:dyDescent="0.2"/>
    <row r="4" spans="2:12" ht="18.75" customHeight="1" x14ac:dyDescent="0.2">
      <c r="B4" s="33" t="s">
        <v>1003</v>
      </c>
      <c r="L4" s="247" t="s">
        <v>1000</v>
      </c>
    </row>
    <row r="5" spans="2:12" ht="18.75" customHeight="1" x14ac:dyDescent="0.2">
      <c r="B5" s="36" t="s">
        <v>668</v>
      </c>
    </row>
    <row r="6" spans="2:12" ht="22.5" customHeight="1" x14ac:dyDescent="0.2">
      <c r="B6" s="35" t="s">
        <v>1001</v>
      </c>
      <c r="H6" s="38" t="s">
        <v>8</v>
      </c>
      <c r="I6" s="65" t="str">
        <f>VLOOKUP('POBLACIÓN TOTAL'!J6,BASE!B3:B126,1,0)</f>
        <v>Acacoyagua</v>
      </c>
      <c r="J6" s="65"/>
      <c r="K6" s="79"/>
      <c r="L6" s="136"/>
    </row>
    <row r="7" spans="2:12" ht="18.75" customHeight="1" thickBot="1" x14ac:dyDescent="0.25"/>
    <row r="8" spans="2:12" ht="37.5" customHeight="1" x14ac:dyDescent="0.2">
      <c r="B8" s="305" t="s">
        <v>1040</v>
      </c>
      <c r="C8" s="306"/>
      <c r="D8" s="307"/>
      <c r="F8" s="302" t="s">
        <v>687</v>
      </c>
      <c r="G8" s="303"/>
      <c r="H8" s="304"/>
      <c r="J8" s="305" t="s">
        <v>688</v>
      </c>
      <c r="K8" s="306"/>
      <c r="L8" s="307"/>
    </row>
    <row r="9" spans="2:12" ht="23.25" customHeight="1" x14ac:dyDescent="0.2">
      <c r="B9" s="110" t="s">
        <v>701</v>
      </c>
      <c r="C9" s="126">
        <f>C10+C11</f>
        <v>5161</v>
      </c>
      <c r="D9" s="129"/>
      <c r="F9" s="112" t="s">
        <v>10</v>
      </c>
      <c r="G9" s="113" t="s">
        <v>11</v>
      </c>
      <c r="H9" s="114" t="s">
        <v>12</v>
      </c>
      <c r="I9" s="122"/>
      <c r="J9" s="119" t="s">
        <v>699</v>
      </c>
      <c r="K9" s="127">
        <f>VLOOKUP(I6,BASE!B3:FB126,157,0)</f>
        <v>597</v>
      </c>
      <c r="L9" s="130">
        <f>K9/C9</f>
        <v>0.11567525673319125</v>
      </c>
    </row>
    <row r="10" spans="2:12" ht="20.25" customHeight="1" thickBot="1" x14ac:dyDescent="0.25">
      <c r="B10" s="111" t="s">
        <v>11</v>
      </c>
      <c r="C10" s="126">
        <f>VLOOKUP(I6,BASE!B3:EO126,144,0)</f>
        <v>4446</v>
      </c>
      <c r="D10" s="129">
        <f>C10/C9</f>
        <v>0.8614609571788413</v>
      </c>
      <c r="F10" s="132">
        <f>C12/C9</f>
        <v>0.97364851772912231</v>
      </c>
      <c r="G10" s="133">
        <f>C13/C10</f>
        <v>0.97210976158344575</v>
      </c>
      <c r="H10" s="131">
        <f>C14/C11</f>
        <v>0.98321678321678319</v>
      </c>
      <c r="I10" s="122"/>
      <c r="J10" s="110" t="s">
        <v>693</v>
      </c>
      <c r="K10" s="126">
        <f>VLOOKUP(I6,BASE!B3:FC126,158,0)</f>
        <v>2618</v>
      </c>
      <c r="L10" s="129">
        <f>K10/C9</f>
        <v>0.50726603371439638</v>
      </c>
    </row>
    <row r="11" spans="2:12" ht="26.25" customHeight="1" x14ac:dyDescent="0.2">
      <c r="B11" s="111" t="s">
        <v>12</v>
      </c>
      <c r="C11" s="126">
        <f>VLOOKUP(I6,BASE!B3:ES126,148,0)</f>
        <v>715</v>
      </c>
      <c r="D11" s="129">
        <f>C11/C9</f>
        <v>0.1385390428211587</v>
      </c>
      <c r="I11" s="115"/>
      <c r="J11" s="119" t="s">
        <v>694</v>
      </c>
      <c r="K11" s="127">
        <f>VLOOKUP(I6,BASE!B3:FD126,159,0)</f>
        <v>181</v>
      </c>
      <c r="L11" s="130">
        <f>K11/C9</f>
        <v>3.507072272815346E-2</v>
      </c>
    </row>
    <row r="12" spans="2:12" ht="22.5" customHeight="1" x14ac:dyDescent="0.2">
      <c r="B12" s="119" t="s">
        <v>703</v>
      </c>
      <c r="C12" s="127">
        <f>C13+C14</f>
        <v>5025</v>
      </c>
      <c r="D12" s="130">
        <f>C12/C9</f>
        <v>0.97364851772912231</v>
      </c>
      <c r="J12" s="110" t="s">
        <v>695</v>
      </c>
      <c r="K12" s="126">
        <f>VLOOKUP(I6,BASE!B3:FE126,160,0)</f>
        <v>878</v>
      </c>
      <c r="L12" s="129">
        <f>K12/C9</f>
        <v>0.17012206936640187</v>
      </c>
    </row>
    <row r="13" spans="2:12" ht="24" customHeight="1" x14ac:dyDescent="0.2">
      <c r="B13" s="120" t="s">
        <v>11</v>
      </c>
      <c r="C13" s="127">
        <f>VLOOKUP(I6,BASE!B3:EP126,145,0)</f>
        <v>4322</v>
      </c>
      <c r="D13" s="130">
        <f>C13/C12</f>
        <v>0.86009950248756217</v>
      </c>
      <c r="J13" s="119" t="s">
        <v>696</v>
      </c>
      <c r="K13" s="127">
        <f>VLOOKUP(I6,BASE!B3:FF126,161,0)</f>
        <v>2</v>
      </c>
      <c r="L13" s="130">
        <f>K13/C9</f>
        <v>3.8752179810114316E-4</v>
      </c>
    </row>
    <row r="14" spans="2:12" ht="20.25" customHeight="1" x14ac:dyDescent="0.2">
      <c r="B14" s="120" t="s">
        <v>12</v>
      </c>
      <c r="C14" s="127">
        <f>VLOOKUP(I6,BASE!B3:ET126,149,0)</f>
        <v>703</v>
      </c>
      <c r="D14" s="130">
        <f>C14/C12</f>
        <v>0.1399004975124378</v>
      </c>
      <c r="J14" s="110" t="s">
        <v>697</v>
      </c>
      <c r="K14" s="126">
        <f>VLOOKUP(I6,BASE!B3:FG126,162,0)</f>
        <v>657</v>
      </c>
      <c r="L14" s="129">
        <f>K14/C9</f>
        <v>0.12730091067622554</v>
      </c>
    </row>
    <row r="15" spans="2:12" ht="20.25" customHeight="1" thickBot="1" x14ac:dyDescent="0.25">
      <c r="B15" s="110" t="s">
        <v>702</v>
      </c>
      <c r="C15" s="126">
        <f>C16+C17</f>
        <v>136</v>
      </c>
      <c r="D15" s="129">
        <f>C15/C9</f>
        <v>2.6351482270877736E-2</v>
      </c>
      <c r="J15" s="123" t="s">
        <v>698</v>
      </c>
      <c r="K15" s="128">
        <f>VLOOKUP(I6,BASE!B3:FH126,163,0)</f>
        <v>216</v>
      </c>
      <c r="L15" s="131">
        <f>K15/C9</f>
        <v>4.1852354194923468E-2</v>
      </c>
    </row>
    <row r="16" spans="2:12" ht="20.25" customHeight="1" x14ac:dyDescent="0.2">
      <c r="B16" s="111" t="s">
        <v>11</v>
      </c>
      <c r="C16" s="126">
        <f>VLOOKUP(I6,BASE!B3:EQ126,146,0)</f>
        <v>124</v>
      </c>
      <c r="D16" s="129">
        <f>C16/C15</f>
        <v>0.91176470588235292</v>
      </c>
    </row>
    <row r="17" spans="2:20" ht="20.25" customHeight="1" x14ac:dyDescent="0.2">
      <c r="B17" s="111" t="s">
        <v>12</v>
      </c>
      <c r="C17" s="126">
        <f>VLOOKUP(I6,BASE!B3:EU126,150,0)</f>
        <v>12</v>
      </c>
      <c r="D17" s="129">
        <f>C17/C15</f>
        <v>8.8235294117647065E-2</v>
      </c>
    </row>
    <row r="18" spans="2:20" ht="36" customHeight="1" x14ac:dyDescent="0.2">
      <c r="B18" s="119" t="s">
        <v>700</v>
      </c>
      <c r="C18" s="127">
        <f>C19+C20</f>
        <v>6839</v>
      </c>
      <c r="D18" s="130"/>
      <c r="N18" s="308" t="s">
        <v>15</v>
      </c>
      <c r="O18" s="308"/>
      <c r="P18" s="308"/>
      <c r="Q18" s="308"/>
    </row>
    <row r="19" spans="2:20" ht="20.25" customHeight="1" x14ac:dyDescent="0.2">
      <c r="B19" s="120" t="s">
        <v>11</v>
      </c>
      <c r="C19" s="127">
        <f>VLOOKUP(I6,BASE!B3:ER126,147,0)</f>
        <v>1543</v>
      </c>
      <c r="D19" s="130">
        <f>C19/C18</f>
        <v>0.22561778037724814</v>
      </c>
      <c r="N19" s="308" t="s">
        <v>669</v>
      </c>
      <c r="O19" s="308"/>
      <c r="P19" s="308"/>
      <c r="Q19" s="308"/>
    </row>
    <row r="20" spans="2:20" ht="20.25" customHeight="1" thickBot="1" x14ac:dyDescent="0.25">
      <c r="B20" s="121" t="s">
        <v>12</v>
      </c>
      <c r="C20" s="128">
        <f>VLOOKUP(I6,BASE!B3:EV126,151,0)</f>
        <v>5296</v>
      </c>
      <c r="D20" s="131">
        <f>C20/C18</f>
        <v>0.77438221962275189</v>
      </c>
      <c r="N20" s="137" t="s">
        <v>736</v>
      </c>
      <c r="O20" s="137" t="s">
        <v>13</v>
      </c>
      <c r="P20" s="137" t="s">
        <v>14</v>
      </c>
      <c r="Q20" s="137" t="s">
        <v>737</v>
      </c>
    </row>
    <row r="21" spans="2:20" ht="22.5" customHeight="1" thickBot="1" x14ac:dyDescent="0.25">
      <c r="N21" s="138">
        <f>VLOOKUP(I6,BASE!B3:FI126,164,0)</f>
        <v>53.844483058000002</v>
      </c>
      <c r="O21" s="139">
        <f>VLOOKUP(I6,BASE!B3:FJ126,165,0)</f>
        <v>27.324066030000001</v>
      </c>
      <c r="P21" s="139">
        <f>VLOOKUP(I6,BASE!B3:FK126,166,0)</f>
        <v>13.488271069</v>
      </c>
      <c r="Q21" s="139">
        <f>VLOOKUP(I6,BASE!B3:FL126,167,0)</f>
        <v>5.3431798435999998</v>
      </c>
    </row>
    <row r="22" spans="2:20" ht="30.75" customHeight="1" x14ac:dyDescent="0.2">
      <c r="B22" s="313" t="s">
        <v>1020</v>
      </c>
      <c r="C22" s="314"/>
      <c r="D22" s="314"/>
      <c r="E22" s="314"/>
      <c r="F22" s="314"/>
      <c r="G22" s="314"/>
      <c r="H22" s="314"/>
      <c r="I22" s="314"/>
      <c r="J22" s="315"/>
      <c r="N22" s="116"/>
      <c r="O22" s="117"/>
      <c r="P22" s="117"/>
      <c r="Q22" s="309"/>
    </row>
    <row r="23" spans="2:20" ht="45" customHeight="1" x14ac:dyDescent="0.2">
      <c r="B23" s="228" t="s">
        <v>689</v>
      </c>
      <c r="C23" s="316" t="s">
        <v>690</v>
      </c>
      <c r="D23" s="316"/>
      <c r="E23" s="316" t="s">
        <v>691</v>
      </c>
      <c r="F23" s="316"/>
      <c r="G23" s="316" t="s">
        <v>692</v>
      </c>
      <c r="H23" s="316"/>
      <c r="I23" s="316" t="s">
        <v>9</v>
      </c>
      <c r="J23" s="317"/>
      <c r="K23" s="229"/>
      <c r="N23" s="116"/>
      <c r="O23" s="117"/>
      <c r="P23" s="117"/>
      <c r="Q23" s="310"/>
    </row>
    <row r="24" spans="2:20" ht="36" customHeight="1" thickBot="1" x14ac:dyDescent="0.25">
      <c r="B24" s="135">
        <f>VLOOKUP(I6,BASE!B3:EW126,152,0)</f>
        <v>59.774109469999999</v>
      </c>
      <c r="C24" s="311">
        <f>VLOOKUP(I6,BASE!B3:EX126,153,0)</f>
        <v>11.815812337000001</v>
      </c>
      <c r="D24" s="311"/>
      <c r="E24" s="311">
        <f>VLOOKUP(I6,BASE!B3:EY126,154,0)</f>
        <v>9.4483058209999999</v>
      </c>
      <c r="F24" s="311"/>
      <c r="G24" s="311">
        <f>VLOOKUP(I6,BASE!B3:EZ126,155,0)</f>
        <v>18.744569939000002</v>
      </c>
      <c r="H24" s="311"/>
      <c r="I24" s="311">
        <f>VLOOKUP(I6,BASE!B3:FA126,156,0)</f>
        <v>0.2172024327</v>
      </c>
      <c r="J24" s="312"/>
    </row>
    <row r="25" spans="2:20" x14ac:dyDescent="0.2">
      <c r="Q25" s="115"/>
    </row>
    <row r="26" spans="2:20" x14ac:dyDescent="0.2">
      <c r="J26" s="77"/>
      <c r="K26" s="77"/>
      <c r="Q26" s="115"/>
    </row>
    <row r="27" spans="2:20" x14ac:dyDescent="0.2">
      <c r="Q27" s="115"/>
    </row>
    <row r="28" spans="2:20" x14ac:dyDescent="0.2">
      <c r="Q28" s="115"/>
    </row>
    <row r="31" spans="2:20" ht="15" customHeight="1" x14ac:dyDescent="0.2">
      <c r="O31" s="118"/>
      <c r="P31" s="118"/>
      <c r="Q31" s="118"/>
      <c r="R31" s="118"/>
      <c r="S31" s="118"/>
      <c r="T31" s="118"/>
    </row>
    <row r="32" spans="2:20" ht="72.75" customHeight="1" x14ac:dyDescent="0.2">
      <c r="O32" s="118"/>
      <c r="P32" s="118"/>
      <c r="Q32" s="118"/>
      <c r="R32" s="118"/>
      <c r="S32" s="118"/>
      <c r="T32" s="118"/>
    </row>
    <row r="33" spans="15:20" ht="48.75" customHeight="1" x14ac:dyDescent="0.2">
      <c r="O33" s="118"/>
      <c r="P33" s="118"/>
      <c r="Q33" s="118"/>
      <c r="R33" s="118"/>
      <c r="S33" s="118"/>
      <c r="T33" s="118"/>
    </row>
    <row r="34" spans="15:20" ht="15" customHeight="1" x14ac:dyDescent="0.2">
      <c r="O34" s="118"/>
      <c r="P34" s="118"/>
      <c r="Q34" s="118"/>
      <c r="R34" s="118"/>
      <c r="S34" s="118"/>
      <c r="T34" s="118"/>
    </row>
    <row r="35" spans="15:20" ht="15" customHeight="1" x14ac:dyDescent="0.2">
      <c r="O35" s="118"/>
      <c r="P35" s="118"/>
      <c r="Q35" s="118"/>
      <c r="R35" s="118"/>
      <c r="S35" s="118"/>
      <c r="T35" s="118"/>
    </row>
    <row r="36" spans="15:20" ht="15" customHeight="1" x14ac:dyDescent="0.2">
      <c r="O36" s="118"/>
      <c r="P36" s="118"/>
      <c r="Q36" s="118"/>
      <c r="R36" s="118"/>
      <c r="S36" s="118"/>
      <c r="T36" s="118"/>
    </row>
  </sheetData>
  <sheetProtection password="EBC7" sheet="1" objects="1" scenarios="1"/>
  <mergeCells count="15">
    <mergeCell ref="Q22:Q23"/>
    <mergeCell ref="C24:D24"/>
    <mergeCell ref="E24:F24"/>
    <mergeCell ref="G24:H24"/>
    <mergeCell ref="I24:J24"/>
    <mergeCell ref="B22:J22"/>
    <mergeCell ref="C23:D23"/>
    <mergeCell ref="E23:F23"/>
    <mergeCell ref="G23:H23"/>
    <mergeCell ref="I23:J23"/>
    <mergeCell ref="F8:H8"/>
    <mergeCell ref="J8:L8"/>
    <mergeCell ref="B8:D8"/>
    <mergeCell ref="N19:Q19"/>
    <mergeCell ref="N18:Q18"/>
  </mergeCells>
  <hyperlinks>
    <hyperlink ref="L4" location="PRESENTACIÓN!C7" display="INICIO"/>
  </hyperlinks>
  <pageMargins left="0.43307086614173229" right="0.23622047244094491" top="0.19685039370078741" bottom="0.19685039370078741" header="0" footer="0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zoomScaleNormal="100" workbookViewId="0">
      <selection activeCell="K4" sqref="K4"/>
    </sheetView>
  </sheetViews>
  <sheetFormatPr baseColWidth="10" defaultRowHeight="12" x14ac:dyDescent="0.2"/>
  <cols>
    <col min="1" max="1" width="5.5703125" style="77" customWidth="1"/>
    <col min="2" max="2" width="25.140625" style="77" customWidth="1"/>
    <col min="3" max="3" width="9.28515625" style="77" customWidth="1"/>
    <col min="4" max="7" width="9.5703125" style="77" customWidth="1"/>
    <col min="8" max="8" width="14" style="77" customWidth="1"/>
    <col min="9" max="10" width="11.42578125" style="77"/>
    <col min="11" max="11" width="10.7109375" style="77" customWidth="1"/>
    <col min="12" max="16384" width="11.42578125" style="77"/>
  </cols>
  <sheetData>
    <row r="1" spans="2:11" ht="18.75" customHeight="1" x14ac:dyDescent="0.2"/>
    <row r="2" spans="2:11" ht="18.75" customHeight="1" x14ac:dyDescent="0.2"/>
    <row r="3" spans="2:11" ht="18.75" customHeight="1" x14ac:dyDescent="0.2"/>
    <row r="4" spans="2:11" ht="18.75" customHeight="1" x14ac:dyDescent="0.2">
      <c r="B4" s="33" t="s">
        <v>1003</v>
      </c>
      <c r="K4" s="247" t="s">
        <v>1000</v>
      </c>
    </row>
    <row r="5" spans="2:11" ht="18.75" customHeight="1" x14ac:dyDescent="0.2">
      <c r="B5" s="36" t="s">
        <v>35</v>
      </c>
    </row>
    <row r="6" spans="2:11" ht="23.25" customHeight="1" x14ac:dyDescent="0.2">
      <c r="B6" s="35" t="s">
        <v>1001</v>
      </c>
      <c r="G6" s="38" t="s">
        <v>8</v>
      </c>
      <c r="H6" s="79" t="str">
        <f>VLOOKUP('POBLACIÓN TOTAL'!J6,BASE!B3:B126,1,0)</f>
        <v>Acacoyagua</v>
      </c>
      <c r="I6" s="79"/>
      <c r="J6" s="79"/>
      <c r="K6" s="181"/>
    </row>
    <row r="7" spans="2:11" ht="18.75" customHeight="1" thickBot="1" x14ac:dyDescent="0.25"/>
    <row r="8" spans="2:11" ht="35.25" customHeight="1" x14ac:dyDescent="0.2">
      <c r="B8" s="286" t="s">
        <v>1021</v>
      </c>
      <c r="C8" s="292"/>
      <c r="D8" s="287"/>
      <c r="H8" s="286" t="s">
        <v>1022</v>
      </c>
      <c r="I8" s="292"/>
      <c r="J8" s="292"/>
      <c r="K8" s="287"/>
    </row>
    <row r="9" spans="2:11" ht="25.5" customHeight="1" x14ac:dyDescent="0.2">
      <c r="B9" s="142" t="s">
        <v>738</v>
      </c>
      <c r="C9" s="48">
        <f>C10+C11</f>
        <v>10438</v>
      </c>
      <c r="D9" s="49">
        <f>C9/(C9+C12+C15)</f>
        <v>0.62079219697870824</v>
      </c>
      <c r="H9" s="44" t="s">
        <v>744</v>
      </c>
      <c r="I9" s="145" t="s">
        <v>10</v>
      </c>
      <c r="J9" s="145" t="s">
        <v>11</v>
      </c>
      <c r="K9" s="46" t="s">
        <v>12</v>
      </c>
    </row>
    <row r="10" spans="2:11" ht="20.25" customHeight="1" x14ac:dyDescent="0.2">
      <c r="B10" s="143" t="s">
        <v>11</v>
      </c>
      <c r="C10" s="48">
        <f>VLOOKUP(H6,BASE!B3:FM126,168,0)</f>
        <v>5054</v>
      </c>
      <c r="D10" s="49">
        <f>C10/C9</f>
        <v>0.48419237401801113</v>
      </c>
      <c r="H10" s="148" t="s">
        <v>18</v>
      </c>
      <c r="I10" s="48">
        <f>J10+K10</f>
        <v>1176</v>
      </c>
      <c r="J10" s="48">
        <f>VLOOKUP(H6,BASE!B3:GG126,188,0)</f>
        <v>600</v>
      </c>
      <c r="K10" s="57">
        <f>VLOOKUP(H6,BASE!B3:GY126,206,0)</f>
        <v>576</v>
      </c>
    </row>
    <row r="11" spans="2:11" ht="20.25" customHeight="1" x14ac:dyDescent="0.2">
      <c r="B11" s="143" t="s">
        <v>12</v>
      </c>
      <c r="C11" s="48">
        <f>VLOOKUP(H6,BASE!B3:FW126,178,0)</f>
        <v>5384</v>
      </c>
      <c r="D11" s="49">
        <f>C11/C9</f>
        <v>0.51580762598198893</v>
      </c>
      <c r="H11" s="44" t="s">
        <v>19</v>
      </c>
      <c r="I11" s="45">
        <f t="shared" ref="I11:I27" si="0">J11+K11</f>
        <v>1264</v>
      </c>
      <c r="J11" s="45">
        <f>VLOOKUP(H6,BASE!B3:GH126,189,0)</f>
        <v>653</v>
      </c>
      <c r="K11" s="56">
        <f>VLOOKUP(H6,BASE!B3:GZ126,207,0)</f>
        <v>611</v>
      </c>
    </row>
    <row r="12" spans="2:11" ht="25.5" customHeight="1" x14ac:dyDescent="0.2">
      <c r="B12" s="144" t="s">
        <v>739</v>
      </c>
      <c r="C12" s="45">
        <f>C13+C14</f>
        <v>6355</v>
      </c>
      <c r="D12" s="93">
        <f>C12/(C9+C12+C15)</f>
        <v>0.37795884382062567</v>
      </c>
      <c r="H12" s="148" t="s">
        <v>20</v>
      </c>
      <c r="I12" s="48">
        <f t="shared" si="0"/>
        <v>1401</v>
      </c>
      <c r="J12" s="48">
        <f>VLOOKUP(H6,BASE!B3:GI126,190,0)</f>
        <v>730</v>
      </c>
      <c r="K12" s="57">
        <f>VLOOKUP(H6,BASE!B3:HA126,208,0)</f>
        <v>671</v>
      </c>
    </row>
    <row r="13" spans="2:11" ht="20.25" customHeight="1" x14ac:dyDescent="0.2">
      <c r="B13" s="146" t="s">
        <v>11</v>
      </c>
      <c r="C13" s="45">
        <f>VLOOKUP(H6,BASE!B3:FN126,169,0)</f>
        <v>3372</v>
      </c>
      <c r="D13" s="93">
        <f>C13/C12</f>
        <v>0.53060582218725416</v>
      </c>
      <c r="H13" s="44" t="s">
        <v>21</v>
      </c>
      <c r="I13" s="45">
        <f t="shared" si="0"/>
        <v>1281</v>
      </c>
      <c r="J13" s="45">
        <f>VLOOKUP(H6,BASE!B3:GJ126,191,0)</f>
        <v>638</v>
      </c>
      <c r="K13" s="56">
        <f>VLOOKUP(H6,BASE!B3:HB126,209,0)</f>
        <v>643</v>
      </c>
    </row>
    <row r="14" spans="2:11" ht="20.25" customHeight="1" x14ac:dyDescent="0.2">
      <c r="B14" s="146" t="s">
        <v>12</v>
      </c>
      <c r="C14" s="45">
        <f>VLOOKUP(H6,BASE!B3:FX126,179,0)</f>
        <v>2983</v>
      </c>
      <c r="D14" s="93">
        <f>C14/C12</f>
        <v>0.46939417781274589</v>
      </c>
      <c r="H14" s="148" t="s">
        <v>22</v>
      </c>
      <c r="I14" s="48">
        <f t="shared" si="0"/>
        <v>709</v>
      </c>
      <c r="J14" s="48">
        <f>VLOOKUP(H6,BASE!B3:GK126,192,0)</f>
        <v>314</v>
      </c>
      <c r="K14" s="57">
        <f>VLOOKUP(H6,BASE!B3:HC126,210,0)</f>
        <v>395</v>
      </c>
    </row>
    <row r="15" spans="2:11" ht="20.25" customHeight="1" x14ac:dyDescent="0.2">
      <c r="B15" s="142" t="s">
        <v>9</v>
      </c>
      <c r="C15" s="48">
        <f>C16+C17</f>
        <v>21</v>
      </c>
      <c r="D15" s="49">
        <f>C15/(C15+C12+C9)</f>
        <v>1.2489592006661116E-3</v>
      </c>
      <c r="H15" s="44" t="s">
        <v>23</v>
      </c>
      <c r="I15" s="45">
        <f t="shared" si="0"/>
        <v>654</v>
      </c>
      <c r="J15" s="45">
        <f>VLOOKUP(H6,BASE!B3:GL126,193,0)</f>
        <v>255</v>
      </c>
      <c r="K15" s="56">
        <f>VLOOKUP(H6,BASE!B3:HD126,211,0)</f>
        <v>399</v>
      </c>
    </row>
    <row r="16" spans="2:11" ht="20.25" customHeight="1" x14ac:dyDescent="0.2">
      <c r="B16" s="143" t="s">
        <v>11</v>
      </c>
      <c r="C16" s="48">
        <f>VLOOKUP(H6,BASE!B3:FV126,177,0)</f>
        <v>10</v>
      </c>
      <c r="D16" s="49">
        <f>C16/C15</f>
        <v>0.47619047619047616</v>
      </c>
      <c r="H16" s="148" t="s">
        <v>24</v>
      </c>
      <c r="I16" s="48">
        <f t="shared" si="0"/>
        <v>703</v>
      </c>
      <c r="J16" s="48">
        <f>VLOOKUP(H6,BASE!B3:GM126,194,0)</f>
        <v>321</v>
      </c>
      <c r="K16" s="57">
        <f>VLOOKUP(H6,BASE!B3:HE126,212,0)</f>
        <v>382</v>
      </c>
    </row>
    <row r="17" spans="2:11" ht="20.25" customHeight="1" thickBot="1" x14ac:dyDescent="0.25">
      <c r="B17" s="147" t="s">
        <v>12</v>
      </c>
      <c r="C17" s="94">
        <f>VLOOKUP(H6,BASE!B3:GF126,187,0)</f>
        <v>11</v>
      </c>
      <c r="D17" s="95">
        <f>C17/C15</f>
        <v>0.52380952380952384</v>
      </c>
      <c r="H17" s="44" t="s">
        <v>25</v>
      </c>
      <c r="I17" s="45">
        <f t="shared" si="0"/>
        <v>672</v>
      </c>
      <c r="J17" s="45">
        <f>VLOOKUP(H6,BASE!B3:GN126,195,0)</f>
        <v>302</v>
      </c>
      <c r="K17" s="56">
        <f>VLOOKUP(H6,BASE!B3:HF126,213,0)</f>
        <v>370</v>
      </c>
    </row>
    <row r="18" spans="2:11" ht="18.75" customHeight="1" thickBot="1" x14ac:dyDescent="0.25">
      <c r="H18" s="148" t="s">
        <v>26</v>
      </c>
      <c r="I18" s="48">
        <f t="shared" si="0"/>
        <v>559</v>
      </c>
      <c r="J18" s="48">
        <f>VLOOKUP(H6,BASE!B3:GO126,196,0)</f>
        <v>246</v>
      </c>
      <c r="K18" s="57">
        <f>VLOOKUP(H6,BASE!B3:HG126,214,0)</f>
        <v>313</v>
      </c>
    </row>
    <row r="19" spans="2:11" ht="22.5" customHeight="1" x14ac:dyDescent="0.2">
      <c r="B19" s="286" t="s">
        <v>1023</v>
      </c>
      <c r="C19" s="292"/>
      <c r="D19" s="292"/>
      <c r="E19" s="287"/>
      <c r="F19" s="141"/>
      <c r="H19" s="44" t="s">
        <v>27</v>
      </c>
      <c r="I19" s="45">
        <f t="shared" si="0"/>
        <v>472</v>
      </c>
      <c r="J19" s="45">
        <f>VLOOKUP(H6,BASE!B3:GP126,197,0)</f>
        <v>214</v>
      </c>
      <c r="K19" s="56">
        <f>VLOOKUP(H6,BASE!B3:HH126,215,0)</f>
        <v>258</v>
      </c>
    </row>
    <row r="20" spans="2:11" ht="19.5" customHeight="1" x14ac:dyDescent="0.2">
      <c r="B20" s="150"/>
      <c r="C20" s="145" t="s">
        <v>10</v>
      </c>
      <c r="D20" s="145" t="s">
        <v>11</v>
      </c>
      <c r="E20" s="46" t="s">
        <v>12</v>
      </c>
      <c r="F20" s="140"/>
      <c r="H20" s="148" t="s">
        <v>28</v>
      </c>
      <c r="I20" s="48">
        <f t="shared" si="0"/>
        <v>380</v>
      </c>
      <c r="J20" s="48">
        <f>VLOOKUP(H6,BASE!B3:GQ126,198,0)</f>
        <v>177</v>
      </c>
      <c r="K20" s="57">
        <f>VLOOKUP(H6,BASE!B3:HI126,216,0)</f>
        <v>203</v>
      </c>
    </row>
    <row r="21" spans="2:11" ht="19.5" customHeight="1" x14ac:dyDescent="0.2">
      <c r="B21" s="108" t="s">
        <v>10</v>
      </c>
      <c r="C21" s="48">
        <f>D21+E21</f>
        <v>10931</v>
      </c>
      <c r="D21" s="48">
        <f>SUM(D22:D28)</f>
        <v>5311</v>
      </c>
      <c r="E21" s="57">
        <f>SUM(E22:E28)</f>
        <v>5620</v>
      </c>
      <c r="F21" s="140"/>
      <c r="H21" s="44" t="s">
        <v>29</v>
      </c>
      <c r="I21" s="45">
        <f t="shared" si="0"/>
        <v>350</v>
      </c>
      <c r="J21" s="45">
        <f>VLOOKUP(H6,BASE!B3:GR126,199,0)</f>
        <v>167</v>
      </c>
      <c r="K21" s="56">
        <f>VLOOKUP(H6,BASE!B3:HJ126,217,0)</f>
        <v>183</v>
      </c>
    </row>
    <row r="22" spans="2:11" ht="19.5" customHeight="1" x14ac:dyDescent="0.2">
      <c r="B22" s="107" t="s">
        <v>16</v>
      </c>
      <c r="C22" s="45">
        <f t="shared" ref="C22:C28" si="1">D22+E22</f>
        <v>3301</v>
      </c>
      <c r="D22" s="45">
        <f>VLOOKUP(H6,BASE!B3:FO126,170,0)</f>
        <v>1633</v>
      </c>
      <c r="E22" s="56">
        <f>VLOOKUP(H6,BASE!B3:FY126,180,0)</f>
        <v>1668</v>
      </c>
      <c r="F22" s="140"/>
      <c r="H22" s="148" t="s">
        <v>30</v>
      </c>
      <c r="I22" s="48">
        <f t="shared" si="0"/>
        <v>283</v>
      </c>
      <c r="J22" s="48">
        <f>VLOOKUP(H6,BASE!B3:GS126,200,0)</f>
        <v>160</v>
      </c>
      <c r="K22" s="57">
        <f>VLOOKUP(H6,BASE!B3:HK126,218,0)</f>
        <v>123</v>
      </c>
    </row>
    <row r="23" spans="2:11" ht="19.5" customHeight="1" x14ac:dyDescent="0.2">
      <c r="B23" s="108" t="s">
        <v>17</v>
      </c>
      <c r="C23" s="48">
        <f t="shared" si="1"/>
        <v>220</v>
      </c>
      <c r="D23" s="48">
        <f>VLOOKUP(H6,BASE!B3:FP126,171,0)</f>
        <v>110</v>
      </c>
      <c r="E23" s="57">
        <f>VLOOKUP(H6,BASE!B3:FZ126,181,0)</f>
        <v>110</v>
      </c>
      <c r="F23" s="140"/>
      <c r="H23" s="44" t="s">
        <v>31</v>
      </c>
      <c r="I23" s="45">
        <f t="shared" si="0"/>
        <v>175</v>
      </c>
      <c r="J23" s="45">
        <f>VLOOKUP(H6,BASE!B3:GT126,201,0)</f>
        <v>82</v>
      </c>
      <c r="K23" s="56">
        <f>VLOOKUP(H6,BASE!B3:HL126,219,0)</f>
        <v>93</v>
      </c>
    </row>
    <row r="24" spans="2:11" ht="19.5" customHeight="1" x14ac:dyDescent="0.2">
      <c r="B24" s="107" t="s">
        <v>740</v>
      </c>
      <c r="C24" s="45">
        <f t="shared" si="1"/>
        <v>45</v>
      </c>
      <c r="D24" s="45">
        <f>VLOOKUP(H6,BASE!B3:FQ126,172,0)</f>
        <v>20</v>
      </c>
      <c r="E24" s="56">
        <f>VLOOKUP(H6,BASE!B3:GA126,182,0)</f>
        <v>25</v>
      </c>
      <c r="F24" s="140"/>
      <c r="H24" s="148" t="s">
        <v>32</v>
      </c>
      <c r="I24" s="48">
        <f t="shared" si="0"/>
        <v>167</v>
      </c>
      <c r="J24" s="48">
        <f>VLOOKUP(H6,BASE!B3:GU126,202,0)</f>
        <v>90</v>
      </c>
      <c r="K24" s="57">
        <f>VLOOKUP(H6,BASE!B3:HM126,220,0)</f>
        <v>77</v>
      </c>
    </row>
    <row r="25" spans="2:11" ht="19.5" customHeight="1" x14ac:dyDescent="0.2">
      <c r="B25" s="108" t="s">
        <v>741</v>
      </c>
      <c r="C25" s="48">
        <f t="shared" si="1"/>
        <v>11</v>
      </c>
      <c r="D25" s="48">
        <f>VLOOKUP(H6,BASE!B3:FR126,173,0)</f>
        <v>5</v>
      </c>
      <c r="E25" s="57">
        <f>VLOOKUP(H6,BASE!B3:GB126,183,0)</f>
        <v>6</v>
      </c>
      <c r="F25" s="140"/>
      <c r="H25" s="44" t="s">
        <v>33</v>
      </c>
      <c r="I25" s="45">
        <f t="shared" si="0"/>
        <v>95</v>
      </c>
      <c r="J25" s="45">
        <f>VLOOKUP(H6,BASE!B3:GV126,203,0)</f>
        <v>52</v>
      </c>
      <c r="K25" s="56">
        <f>VLOOKUP(H6,BASE!B3:HN126,221,0)</f>
        <v>43</v>
      </c>
    </row>
    <row r="26" spans="2:11" ht="28.5" customHeight="1" x14ac:dyDescent="0.2">
      <c r="B26" s="107" t="s">
        <v>766</v>
      </c>
      <c r="C26" s="45">
        <f t="shared" si="1"/>
        <v>7310</v>
      </c>
      <c r="D26" s="45">
        <f>VLOOKUP(H6,BASE!B3:FS126,174,0)</f>
        <v>3511</v>
      </c>
      <c r="E26" s="56">
        <f>VLOOKUP(H6,BASE!B3:GC126,184,0)</f>
        <v>3799</v>
      </c>
      <c r="F26" s="140"/>
      <c r="H26" s="148" t="s">
        <v>34</v>
      </c>
      <c r="I26" s="48">
        <f t="shared" si="0"/>
        <v>50</v>
      </c>
      <c r="J26" s="48">
        <f>VLOOKUP(H6,BASE!B3:GW126,204,0)</f>
        <v>31</v>
      </c>
      <c r="K26" s="57">
        <f>VLOOKUP(H6,BASE!B3:HO126,222,0)</f>
        <v>19</v>
      </c>
    </row>
    <row r="27" spans="2:11" ht="24.75" customHeight="1" thickBot="1" x14ac:dyDescent="0.25">
      <c r="B27" s="108" t="s">
        <v>742</v>
      </c>
      <c r="C27" s="48">
        <f t="shared" si="1"/>
        <v>18</v>
      </c>
      <c r="D27" s="48">
        <f>VLOOKUP(H6,BASE!B3:FT126,175,0)</f>
        <v>13</v>
      </c>
      <c r="E27" s="57">
        <f>VLOOKUP(H6,BASE!B3:GD126,185,0)</f>
        <v>5</v>
      </c>
      <c r="F27" s="140"/>
      <c r="H27" s="149" t="s">
        <v>745</v>
      </c>
      <c r="I27" s="51">
        <f t="shared" si="0"/>
        <v>47</v>
      </c>
      <c r="J27" s="51">
        <f>VLOOKUP(H6,BASE!B3:GX126,205,0)</f>
        <v>22</v>
      </c>
      <c r="K27" s="61">
        <f>VLOOKUP(H6,BASE!B3:HP126,223,0)</f>
        <v>25</v>
      </c>
    </row>
    <row r="28" spans="2:11" ht="13.5" customHeight="1" thickBot="1" x14ac:dyDescent="0.25">
      <c r="B28" s="106" t="s">
        <v>743</v>
      </c>
      <c r="C28" s="51">
        <f t="shared" si="1"/>
        <v>26</v>
      </c>
      <c r="D28" s="51">
        <f>VLOOKUP(H6,BASE!B3:FU126,176,0)</f>
        <v>19</v>
      </c>
      <c r="E28" s="61">
        <f>VLOOKUP(H6,BASE!B3:GE126,186,0)</f>
        <v>7</v>
      </c>
      <c r="F28" s="140"/>
    </row>
  </sheetData>
  <sheetProtection password="EBC7" sheet="1" objects="1" scenarios="1"/>
  <mergeCells count="3">
    <mergeCell ref="B19:E19"/>
    <mergeCell ref="H8:K8"/>
    <mergeCell ref="B8:D8"/>
  </mergeCells>
  <hyperlinks>
    <hyperlink ref="K4" location="PRESENTACIÓN!C7" display="INICIO"/>
  </hyperlinks>
  <pageMargins left="0.43307086614173229" right="0.23622047244094491" top="0.19685039370078741" bottom="0.19685039370078741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23</vt:i4>
      </vt:variant>
    </vt:vector>
  </HeadingPairs>
  <TitlesOfParts>
    <vt:vector size="36" baseType="lpstr">
      <vt:lpstr>PRESENTACIÓN</vt:lpstr>
      <vt:lpstr>POBLACIÓN TOTAL</vt:lpstr>
      <vt:lpstr>POBLACIÓN INDÍGENA</vt:lpstr>
      <vt:lpstr>HOGARES</vt:lpstr>
      <vt:lpstr>TAMAÑO DE LOCALIDADES</vt:lpstr>
      <vt:lpstr>DISCAPACIDAD</vt:lpstr>
      <vt:lpstr>EDUCACIÓN</vt:lpstr>
      <vt:lpstr>ACT ECONÓMICA</vt:lpstr>
      <vt:lpstr>SALUD</vt:lpstr>
      <vt:lpstr>SERVICIOS VIVIENDAS</vt:lpstr>
      <vt:lpstr>CALIDAD VIVIENDAS</vt:lpstr>
      <vt:lpstr>ESPACIO VIVIENDAS</vt:lpstr>
      <vt:lpstr>BASE</vt:lpstr>
      <vt:lpstr>'ACT ECONÓMICA'!Área_de_impresión</vt:lpstr>
      <vt:lpstr>'CALIDAD VIVIENDAS'!Área_de_impresión</vt:lpstr>
      <vt:lpstr>DISCAPACIDAD!Área_de_impresión</vt:lpstr>
      <vt:lpstr>EDUCACIÓN!Área_de_impresión</vt:lpstr>
      <vt:lpstr>'ESPACIO VIVIENDAS'!Área_de_impresión</vt:lpstr>
      <vt:lpstr>HOGARES!Área_de_impresión</vt:lpstr>
      <vt:lpstr>'POBLACIÓN INDÍGENA'!Área_de_impresión</vt:lpstr>
      <vt:lpstr>'POBLACIÓN TOTAL'!Área_de_impresión</vt:lpstr>
      <vt:lpstr>PRESENTACIÓN!Área_de_impresión</vt:lpstr>
      <vt:lpstr>SALUD!Área_de_impresión</vt:lpstr>
      <vt:lpstr>'SERVICIOS VIVIENDAS'!Área_de_impresión</vt:lpstr>
      <vt:lpstr>'TAMAÑO DE LOCALIDADES'!Área_de_impresión</vt:lpstr>
      <vt:lpstr>'ACT ECONÓMICA'!Títulos_a_imprimir</vt:lpstr>
      <vt:lpstr>'CALIDAD VIVIENDAS'!Títulos_a_imprimir</vt:lpstr>
      <vt:lpstr>DISCAPACIDAD!Títulos_a_imprimir</vt:lpstr>
      <vt:lpstr>EDUCACIÓN!Títulos_a_imprimir</vt:lpstr>
      <vt:lpstr>'ESPACIO VIVIENDAS'!Títulos_a_imprimir</vt:lpstr>
      <vt:lpstr>HOGARES!Títulos_a_imprimir</vt:lpstr>
      <vt:lpstr>'POBLACIÓN INDÍGENA'!Títulos_a_imprimir</vt:lpstr>
      <vt:lpstr>'POBLACIÓN TOTAL'!Títulos_a_imprimir</vt:lpstr>
      <vt:lpstr>SALUD!Títulos_a_imprimir</vt:lpstr>
      <vt:lpstr>'SERVICIOS VIVIENDAS'!Títulos_a_imprimir</vt:lpstr>
      <vt:lpstr>'TAMAÑO DE LOCALIDADES'!Títulos_a_imprimir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Usuario de Windows</cp:lastModifiedBy>
  <cp:lastPrinted>2021-01-25T20:31:11Z</cp:lastPrinted>
  <dcterms:created xsi:type="dcterms:W3CDTF">2020-12-14T20:27:17Z</dcterms:created>
  <dcterms:modified xsi:type="dcterms:W3CDTF">2021-01-29T15:03:47Z</dcterms:modified>
</cp:coreProperties>
</file>